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通过资格初审合格人员" sheetId="1" r:id="rId1"/>
  </sheets>
  <definedNames>
    <definedName name="_xlnm._FilterDatabase" localSheetId="0" hidden="1">'通过资格初审合格人员'!$A$2:$I$789</definedName>
  </definedNames>
  <calcPr fullCalcOnLoad="1"/>
</workbook>
</file>

<file path=xl/sharedStrings.xml><?xml version="1.0" encoding="utf-8"?>
<sst xmlns="http://schemas.openxmlformats.org/spreadsheetml/2006/main" count="2374" uniqueCount="30">
  <si>
    <t>白沙黎族自治县聚四方之才共建自贸港 —“智汇海之南”2024年招聘高中教师通过资格审查进入笔试人员名单</t>
  </si>
  <si>
    <t>序号</t>
  </si>
  <si>
    <t>招聘单位</t>
  </si>
  <si>
    <t>岗位名称</t>
  </si>
  <si>
    <t>姓名</t>
  </si>
  <si>
    <t>性别</t>
  </si>
  <si>
    <t>报考号</t>
  </si>
  <si>
    <t>岗位代码</t>
  </si>
  <si>
    <t>笔试地点</t>
  </si>
  <si>
    <t>备注</t>
  </si>
  <si>
    <t>海南中学白沙学校（高中部）</t>
  </si>
  <si>
    <t>高中语文</t>
  </si>
  <si>
    <t>海南中学初中部</t>
  </si>
  <si>
    <t>高中数学</t>
  </si>
  <si>
    <t>高中英语</t>
  </si>
  <si>
    <t>河南大学龙子湖校区（郑州市）友兰学堂C座</t>
  </si>
  <si>
    <t>高中生物</t>
  </si>
  <si>
    <t>高中政治</t>
  </si>
  <si>
    <t>周敏</t>
  </si>
  <si>
    <t>李博</t>
  </si>
  <si>
    <t>男</t>
  </si>
  <si>
    <t>高中地理</t>
  </si>
  <si>
    <t>高中音乐</t>
  </si>
  <si>
    <t>高中心理</t>
  </si>
  <si>
    <t>民族中学（高中部）</t>
  </si>
  <si>
    <t>高中历史</t>
  </si>
  <si>
    <t>高中信息</t>
  </si>
  <si>
    <t>高中通用</t>
  </si>
  <si>
    <t>高中美术</t>
  </si>
  <si>
    <t>高中体育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</si>
</sst>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9"/>
  <sheetViews>
    <sheetView tabSelected="1" view="pageBreakPreview" zoomScale="60" zoomScaleNormal="80" workbookViewId="0" topLeftCell="A1">
      <selection activeCell="O9" sqref="O9"/>
    </sheetView>
  </sheetViews>
  <sheetFormatPr defaultColWidth="9.00390625" defaultRowHeight="15"/>
  <cols>
    <col min="1" max="1" width="7.28125" style="3" customWidth="1"/>
    <col min="2" max="2" width="32.8515625" style="4" customWidth="1"/>
    <col min="3" max="3" width="12.140625" style="4" customWidth="1"/>
    <col min="4" max="5" width="9.00390625" style="4" customWidth="1"/>
    <col min="6" max="6" width="33.8515625" style="4" customWidth="1"/>
    <col min="7" max="7" width="11.00390625" style="4" customWidth="1"/>
    <col min="8" max="8" width="24.7109375" style="4" customWidth="1"/>
    <col min="9" max="9" width="8.421875" style="3" customWidth="1"/>
    <col min="10" max="16384" width="9.00390625" style="3" customWidth="1"/>
  </cols>
  <sheetData>
    <row r="1" spans="1:9" ht="70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spans="1:9" s="2" customFormat="1" ht="30" customHeight="1">
      <c r="A3" s="8">
        <v>1</v>
      </c>
      <c r="B3" s="9" t="s">
        <v>10</v>
      </c>
      <c r="C3" s="9" t="s">
        <v>11</v>
      </c>
      <c r="D3" s="9" t="str">
        <f>"罗靖超"</f>
        <v>罗靖超</v>
      </c>
      <c r="E3" s="9" t="str">
        <f>"男"</f>
        <v>男</v>
      </c>
      <c r="F3" s="9" t="str">
        <f>"63992024042209242559162"</f>
        <v>63992024042209242559162</v>
      </c>
      <c r="G3" s="9" t="str">
        <f aca="true" t="shared" si="0" ref="G3:G8">"0101"</f>
        <v>0101</v>
      </c>
      <c r="H3" s="9" t="s">
        <v>12</v>
      </c>
      <c r="I3" s="8"/>
    </row>
    <row r="4" spans="1:9" s="2" customFormat="1" ht="30" customHeight="1">
      <c r="A4" s="8">
        <v>2</v>
      </c>
      <c r="B4" s="9" t="s">
        <v>10</v>
      </c>
      <c r="C4" s="9" t="s">
        <v>11</v>
      </c>
      <c r="D4" s="9" t="str">
        <f>"莫菲"</f>
        <v>莫菲</v>
      </c>
      <c r="E4" s="9" t="str">
        <f aca="true" t="shared" si="1" ref="E4:E9">"女"</f>
        <v>女</v>
      </c>
      <c r="F4" s="9" t="str">
        <f>"63992024042600420898327"</f>
        <v>63992024042600420898327</v>
      </c>
      <c r="G4" s="9" t="str">
        <f t="shared" si="0"/>
        <v>0101</v>
      </c>
      <c r="H4" s="9" t="s">
        <v>12</v>
      </c>
      <c r="I4" s="8"/>
    </row>
    <row r="5" spans="1:9" s="2" customFormat="1" ht="30" customHeight="1">
      <c r="A5" s="8">
        <v>3</v>
      </c>
      <c r="B5" s="9" t="s">
        <v>10</v>
      </c>
      <c r="C5" s="9" t="s">
        <v>11</v>
      </c>
      <c r="D5" s="9" t="str">
        <f>"张玉妹"</f>
        <v>张玉妹</v>
      </c>
      <c r="E5" s="9" t="str">
        <f t="shared" si="1"/>
        <v>女</v>
      </c>
      <c r="F5" s="9" t="str">
        <f>"639920240426144620110537"</f>
        <v>639920240426144620110537</v>
      </c>
      <c r="G5" s="9" t="str">
        <f t="shared" si="0"/>
        <v>0101</v>
      </c>
      <c r="H5" s="9" t="s">
        <v>12</v>
      </c>
      <c r="I5" s="8"/>
    </row>
    <row r="6" spans="1:9" s="2" customFormat="1" ht="30" customHeight="1">
      <c r="A6" s="8">
        <v>4</v>
      </c>
      <c r="B6" s="9" t="s">
        <v>10</v>
      </c>
      <c r="C6" s="9" t="s">
        <v>11</v>
      </c>
      <c r="D6" s="9" t="str">
        <f>"陈思锡"</f>
        <v>陈思锡</v>
      </c>
      <c r="E6" s="9" t="str">
        <f t="shared" si="1"/>
        <v>女</v>
      </c>
      <c r="F6" s="9" t="str">
        <f>"639920240427212744113796"</f>
        <v>639920240427212744113796</v>
      </c>
      <c r="G6" s="9" t="str">
        <f t="shared" si="0"/>
        <v>0101</v>
      </c>
      <c r="H6" s="9" t="s">
        <v>12</v>
      </c>
      <c r="I6" s="8"/>
    </row>
    <row r="7" spans="1:9" s="2" customFormat="1" ht="30" customHeight="1">
      <c r="A7" s="8">
        <v>5</v>
      </c>
      <c r="B7" s="9" t="s">
        <v>10</v>
      </c>
      <c r="C7" s="9" t="s">
        <v>11</v>
      </c>
      <c r="D7" s="9" t="str">
        <f>"陈娟"</f>
        <v>陈娟</v>
      </c>
      <c r="E7" s="9" t="str">
        <f t="shared" si="1"/>
        <v>女</v>
      </c>
      <c r="F7" s="9" t="str">
        <f>"639920240429103018118099"</f>
        <v>639920240429103018118099</v>
      </c>
      <c r="G7" s="9" t="str">
        <f t="shared" si="0"/>
        <v>0101</v>
      </c>
      <c r="H7" s="9" t="s">
        <v>12</v>
      </c>
      <c r="I7" s="8"/>
    </row>
    <row r="8" spans="1:9" s="2" customFormat="1" ht="30" customHeight="1">
      <c r="A8" s="8">
        <v>6</v>
      </c>
      <c r="B8" s="9" t="s">
        <v>10</v>
      </c>
      <c r="C8" s="9" t="s">
        <v>11</v>
      </c>
      <c r="D8" s="9" t="str">
        <f>"张立君"</f>
        <v>张立君</v>
      </c>
      <c r="E8" s="9" t="str">
        <f t="shared" si="1"/>
        <v>女</v>
      </c>
      <c r="F8" s="9" t="str">
        <f>"639920240429115640118560"</f>
        <v>639920240429115640118560</v>
      </c>
      <c r="G8" s="9" t="str">
        <f t="shared" si="0"/>
        <v>0101</v>
      </c>
      <c r="H8" s="9" t="s">
        <v>12</v>
      </c>
      <c r="I8" s="8"/>
    </row>
    <row r="9" spans="1:9" s="2" customFormat="1" ht="30" customHeight="1">
      <c r="A9" s="8">
        <v>7</v>
      </c>
      <c r="B9" s="9" t="s">
        <v>10</v>
      </c>
      <c r="C9" s="9" t="s">
        <v>13</v>
      </c>
      <c r="D9" s="9" t="str">
        <f>"谢玲玲"</f>
        <v>谢玲玲</v>
      </c>
      <c r="E9" s="9" t="str">
        <f t="shared" si="1"/>
        <v>女</v>
      </c>
      <c r="F9" s="9" t="str">
        <f>"63992024042116190157545"</f>
        <v>63992024042116190157545</v>
      </c>
      <c r="G9" s="9" t="str">
        <f aca="true" t="shared" si="2" ref="G9:G16">"0102"</f>
        <v>0102</v>
      </c>
      <c r="H9" s="9" t="s">
        <v>12</v>
      </c>
      <c r="I9" s="8"/>
    </row>
    <row r="10" spans="1:9" s="2" customFormat="1" ht="30" customHeight="1">
      <c r="A10" s="8">
        <v>8</v>
      </c>
      <c r="B10" s="9" t="s">
        <v>10</v>
      </c>
      <c r="C10" s="9" t="s">
        <v>13</v>
      </c>
      <c r="D10" s="9" t="str">
        <f>"李泽楠"</f>
        <v>李泽楠</v>
      </c>
      <c r="E10" s="9" t="str">
        <f aca="true" t="shared" si="3" ref="E10:E12">"男"</f>
        <v>男</v>
      </c>
      <c r="F10" s="9" t="str">
        <f>"63992024042217241766516"</f>
        <v>63992024042217241766516</v>
      </c>
      <c r="G10" s="9" t="str">
        <f t="shared" si="2"/>
        <v>0102</v>
      </c>
      <c r="H10" s="9" t="s">
        <v>12</v>
      </c>
      <c r="I10" s="8"/>
    </row>
    <row r="11" spans="1:9" s="2" customFormat="1" ht="30" customHeight="1">
      <c r="A11" s="8">
        <v>9</v>
      </c>
      <c r="B11" s="9" t="s">
        <v>10</v>
      </c>
      <c r="C11" s="9" t="s">
        <v>13</v>
      </c>
      <c r="D11" s="9" t="str">
        <f>"李汉龙"</f>
        <v>李汉龙</v>
      </c>
      <c r="E11" s="9" t="str">
        <f t="shared" si="3"/>
        <v>男</v>
      </c>
      <c r="F11" s="9" t="str">
        <f>"63992024042500300493431"</f>
        <v>63992024042500300493431</v>
      </c>
      <c r="G11" s="9" t="str">
        <f t="shared" si="2"/>
        <v>0102</v>
      </c>
      <c r="H11" s="9" t="s">
        <v>12</v>
      </c>
      <c r="I11" s="8"/>
    </row>
    <row r="12" spans="1:9" s="2" customFormat="1" ht="30" customHeight="1">
      <c r="A12" s="8">
        <v>10</v>
      </c>
      <c r="B12" s="9" t="s">
        <v>10</v>
      </c>
      <c r="C12" s="9" t="s">
        <v>13</v>
      </c>
      <c r="D12" s="9" t="str">
        <f>"林子淮"</f>
        <v>林子淮</v>
      </c>
      <c r="E12" s="9" t="str">
        <f t="shared" si="3"/>
        <v>男</v>
      </c>
      <c r="F12" s="9" t="str">
        <f>"639920240426191942111327"</f>
        <v>639920240426191942111327</v>
      </c>
      <c r="G12" s="9" t="str">
        <f t="shared" si="2"/>
        <v>0102</v>
      </c>
      <c r="H12" s="9" t="s">
        <v>12</v>
      </c>
      <c r="I12" s="8"/>
    </row>
    <row r="13" spans="1:9" s="2" customFormat="1" ht="30" customHeight="1">
      <c r="A13" s="8">
        <v>11</v>
      </c>
      <c r="B13" s="9" t="s">
        <v>10</v>
      </c>
      <c r="C13" s="9" t="s">
        <v>13</v>
      </c>
      <c r="D13" s="9" t="str">
        <f>"余鑫华"</f>
        <v>余鑫华</v>
      </c>
      <c r="E13" s="9" t="str">
        <f aca="true" t="shared" si="4" ref="E13:E31">"女"</f>
        <v>女</v>
      </c>
      <c r="F13" s="9" t="str">
        <f>"639920240427165115113192"</f>
        <v>639920240427165115113192</v>
      </c>
      <c r="G13" s="9" t="str">
        <f t="shared" si="2"/>
        <v>0102</v>
      </c>
      <c r="H13" s="9" t="s">
        <v>12</v>
      </c>
      <c r="I13" s="8"/>
    </row>
    <row r="14" spans="1:9" s="2" customFormat="1" ht="30" customHeight="1">
      <c r="A14" s="8">
        <v>12</v>
      </c>
      <c r="B14" s="9" t="s">
        <v>10</v>
      </c>
      <c r="C14" s="9" t="s">
        <v>13</v>
      </c>
      <c r="D14" s="9" t="str">
        <f>"陈余英"</f>
        <v>陈余英</v>
      </c>
      <c r="E14" s="9" t="str">
        <f t="shared" si="4"/>
        <v>女</v>
      </c>
      <c r="F14" s="9" t="str">
        <f>"63992024042300063668568"</f>
        <v>63992024042300063668568</v>
      </c>
      <c r="G14" s="9" t="str">
        <f t="shared" si="2"/>
        <v>0102</v>
      </c>
      <c r="H14" s="9" t="s">
        <v>12</v>
      </c>
      <c r="I14" s="8"/>
    </row>
    <row r="15" spans="1:9" s="2" customFormat="1" ht="30" customHeight="1">
      <c r="A15" s="8">
        <v>13</v>
      </c>
      <c r="B15" s="9" t="s">
        <v>10</v>
      </c>
      <c r="C15" s="9" t="s">
        <v>13</v>
      </c>
      <c r="D15" s="9" t="str">
        <f>"黄泽"</f>
        <v>黄泽</v>
      </c>
      <c r="E15" s="9" t="str">
        <f>"男"</f>
        <v>男</v>
      </c>
      <c r="F15" s="9" t="str">
        <f>"639920240428201945116902"</f>
        <v>639920240428201945116902</v>
      </c>
      <c r="G15" s="9" t="str">
        <f t="shared" si="2"/>
        <v>0102</v>
      </c>
      <c r="H15" s="9" t="s">
        <v>12</v>
      </c>
      <c r="I15" s="8"/>
    </row>
    <row r="16" spans="1:9" s="2" customFormat="1" ht="30" customHeight="1">
      <c r="A16" s="8">
        <v>14</v>
      </c>
      <c r="B16" s="9" t="s">
        <v>10</v>
      </c>
      <c r="C16" s="9" t="s">
        <v>13</v>
      </c>
      <c r="D16" s="9" t="str">
        <f>"陈莹莹"</f>
        <v>陈莹莹</v>
      </c>
      <c r="E16" s="9" t="str">
        <f t="shared" si="4"/>
        <v>女</v>
      </c>
      <c r="F16" s="9" t="str">
        <f>"639920240429162648119635"</f>
        <v>639920240429162648119635</v>
      </c>
      <c r="G16" s="9" t="str">
        <f t="shared" si="2"/>
        <v>0102</v>
      </c>
      <c r="H16" s="9" t="s">
        <v>12</v>
      </c>
      <c r="I16" s="8"/>
    </row>
    <row r="17" spans="1:9" s="2" customFormat="1" ht="30" customHeight="1">
      <c r="A17" s="8">
        <v>15</v>
      </c>
      <c r="B17" s="9" t="s">
        <v>10</v>
      </c>
      <c r="C17" s="9" t="s">
        <v>14</v>
      </c>
      <c r="D17" s="9" t="str">
        <f>"何若云"</f>
        <v>何若云</v>
      </c>
      <c r="E17" s="9" t="str">
        <f t="shared" si="4"/>
        <v>女</v>
      </c>
      <c r="F17" s="9" t="str">
        <f>"63992024041917280651547"</f>
        <v>63992024041917280651547</v>
      </c>
      <c r="G17" s="9" t="str">
        <f aca="true" t="shared" si="5" ref="G17:G57">"0103"</f>
        <v>0103</v>
      </c>
      <c r="H17" s="9" t="s">
        <v>12</v>
      </c>
      <c r="I17" s="8"/>
    </row>
    <row r="18" spans="1:9" s="2" customFormat="1" ht="30" customHeight="1">
      <c r="A18" s="8">
        <v>16</v>
      </c>
      <c r="B18" s="9" t="s">
        <v>10</v>
      </c>
      <c r="C18" s="9" t="s">
        <v>14</v>
      </c>
      <c r="D18" s="9" t="str">
        <f>"冯韵洁"</f>
        <v>冯韵洁</v>
      </c>
      <c r="E18" s="9" t="str">
        <f t="shared" si="4"/>
        <v>女</v>
      </c>
      <c r="F18" s="9" t="str">
        <f>"63992024041921185952005"</f>
        <v>63992024041921185952005</v>
      </c>
      <c r="G18" s="9" t="str">
        <f t="shared" si="5"/>
        <v>0103</v>
      </c>
      <c r="H18" s="9" t="s">
        <v>12</v>
      </c>
      <c r="I18" s="8"/>
    </row>
    <row r="19" spans="1:9" s="2" customFormat="1" ht="30" customHeight="1">
      <c r="A19" s="8">
        <v>17</v>
      </c>
      <c r="B19" s="9" t="s">
        <v>10</v>
      </c>
      <c r="C19" s="9" t="s">
        <v>14</v>
      </c>
      <c r="D19" s="9" t="str">
        <f>"符才妮"</f>
        <v>符才妮</v>
      </c>
      <c r="E19" s="9" t="str">
        <f t="shared" si="4"/>
        <v>女</v>
      </c>
      <c r="F19" s="9" t="str">
        <f>"63992024041923071652163"</f>
        <v>63992024041923071652163</v>
      </c>
      <c r="G19" s="9" t="str">
        <f t="shared" si="5"/>
        <v>0103</v>
      </c>
      <c r="H19" s="9" t="s">
        <v>12</v>
      </c>
      <c r="I19" s="8"/>
    </row>
    <row r="20" spans="1:9" s="2" customFormat="1" ht="30" customHeight="1">
      <c r="A20" s="8">
        <v>18</v>
      </c>
      <c r="B20" s="9" t="s">
        <v>10</v>
      </c>
      <c r="C20" s="9" t="s">
        <v>14</v>
      </c>
      <c r="D20" s="9" t="str">
        <f>"肖馨琦"</f>
        <v>肖馨琦</v>
      </c>
      <c r="E20" s="9" t="str">
        <f t="shared" si="4"/>
        <v>女</v>
      </c>
      <c r="F20" s="9" t="str">
        <f>"63992024042022400656687"</f>
        <v>63992024042022400656687</v>
      </c>
      <c r="G20" s="9" t="str">
        <f t="shared" si="5"/>
        <v>0103</v>
      </c>
      <c r="H20" s="9" t="s">
        <v>12</v>
      </c>
      <c r="I20" s="8"/>
    </row>
    <row r="21" spans="1:9" s="2" customFormat="1" ht="30" customHeight="1">
      <c r="A21" s="8">
        <v>19</v>
      </c>
      <c r="B21" s="9" t="s">
        <v>10</v>
      </c>
      <c r="C21" s="9" t="s">
        <v>14</v>
      </c>
      <c r="D21" s="9" t="str">
        <f>"林宝芸"</f>
        <v>林宝芸</v>
      </c>
      <c r="E21" s="9" t="str">
        <f t="shared" si="4"/>
        <v>女</v>
      </c>
      <c r="F21" s="9" t="str">
        <f>"63992024042118222057709"</f>
        <v>63992024042118222057709</v>
      </c>
      <c r="G21" s="9" t="str">
        <f t="shared" si="5"/>
        <v>0103</v>
      </c>
      <c r="H21" s="9" t="s">
        <v>12</v>
      </c>
      <c r="I21" s="8"/>
    </row>
    <row r="22" spans="1:9" s="2" customFormat="1" ht="30" customHeight="1">
      <c r="A22" s="8">
        <v>20</v>
      </c>
      <c r="B22" s="9" t="s">
        <v>10</v>
      </c>
      <c r="C22" s="9" t="s">
        <v>14</v>
      </c>
      <c r="D22" s="9" t="str">
        <f>"刘秋颖"</f>
        <v>刘秋颖</v>
      </c>
      <c r="E22" s="9" t="str">
        <f t="shared" si="4"/>
        <v>女</v>
      </c>
      <c r="F22" s="9" t="str">
        <f>"63992024042207561458147"</f>
        <v>63992024042207561458147</v>
      </c>
      <c r="G22" s="9" t="str">
        <f t="shared" si="5"/>
        <v>0103</v>
      </c>
      <c r="H22" s="9" t="s">
        <v>12</v>
      </c>
      <c r="I22" s="8"/>
    </row>
    <row r="23" spans="1:9" s="2" customFormat="1" ht="30" customHeight="1">
      <c r="A23" s="8">
        <v>21</v>
      </c>
      <c r="B23" s="9" t="s">
        <v>10</v>
      </c>
      <c r="C23" s="9" t="s">
        <v>14</v>
      </c>
      <c r="D23" s="9" t="str">
        <f>"云心玥"</f>
        <v>云心玥</v>
      </c>
      <c r="E23" s="9" t="str">
        <f t="shared" si="4"/>
        <v>女</v>
      </c>
      <c r="F23" s="9" t="str">
        <f>"63992024042214395662026"</f>
        <v>63992024042214395662026</v>
      </c>
      <c r="G23" s="9" t="str">
        <f t="shared" si="5"/>
        <v>0103</v>
      </c>
      <c r="H23" s="9" t="s">
        <v>12</v>
      </c>
      <c r="I23" s="8"/>
    </row>
    <row r="24" spans="1:9" s="2" customFormat="1" ht="30" customHeight="1">
      <c r="A24" s="8">
        <v>22</v>
      </c>
      <c r="B24" s="9" t="s">
        <v>10</v>
      </c>
      <c r="C24" s="9" t="s">
        <v>14</v>
      </c>
      <c r="D24" s="9" t="str">
        <f>"杨伊凡"</f>
        <v>杨伊凡</v>
      </c>
      <c r="E24" s="9" t="str">
        <f t="shared" si="4"/>
        <v>女</v>
      </c>
      <c r="F24" s="9" t="str">
        <f>"63992024042221015267806"</f>
        <v>63992024042221015267806</v>
      </c>
      <c r="G24" s="9" t="str">
        <f t="shared" si="5"/>
        <v>0103</v>
      </c>
      <c r="H24" s="9" t="s">
        <v>12</v>
      </c>
      <c r="I24" s="8"/>
    </row>
    <row r="25" spans="1:9" s="2" customFormat="1" ht="30" customHeight="1">
      <c r="A25" s="8">
        <v>23</v>
      </c>
      <c r="B25" s="9" t="s">
        <v>10</v>
      </c>
      <c r="C25" s="9" t="s">
        <v>14</v>
      </c>
      <c r="D25" s="9" t="str">
        <f>"胡寒祺"</f>
        <v>胡寒祺</v>
      </c>
      <c r="E25" s="9" t="str">
        <f t="shared" si="4"/>
        <v>女</v>
      </c>
      <c r="F25" s="9" t="str">
        <f>"63992024042310062870433"</f>
        <v>63992024042310062870433</v>
      </c>
      <c r="G25" s="9" t="str">
        <f t="shared" si="5"/>
        <v>0103</v>
      </c>
      <c r="H25" s="9" t="s">
        <v>12</v>
      </c>
      <c r="I25" s="8"/>
    </row>
    <row r="26" spans="1:9" s="2" customFormat="1" ht="30" customHeight="1">
      <c r="A26" s="8">
        <v>24</v>
      </c>
      <c r="B26" s="9" t="s">
        <v>10</v>
      </c>
      <c r="C26" s="9" t="s">
        <v>14</v>
      </c>
      <c r="D26" s="9" t="str">
        <f>"关晶晶"</f>
        <v>关晶晶</v>
      </c>
      <c r="E26" s="9" t="str">
        <f t="shared" si="4"/>
        <v>女</v>
      </c>
      <c r="F26" s="9" t="str">
        <f>"63992024042309290069758"</f>
        <v>63992024042309290069758</v>
      </c>
      <c r="G26" s="9" t="str">
        <f t="shared" si="5"/>
        <v>0103</v>
      </c>
      <c r="H26" s="9" t="s">
        <v>12</v>
      </c>
      <c r="I26" s="8"/>
    </row>
    <row r="27" spans="1:9" s="2" customFormat="1" ht="30" customHeight="1">
      <c r="A27" s="8">
        <v>25</v>
      </c>
      <c r="B27" s="9" t="s">
        <v>10</v>
      </c>
      <c r="C27" s="9" t="s">
        <v>14</v>
      </c>
      <c r="D27" s="9" t="str">
        <f>"谭秋盈"</f>
        <v>谭秋盈</v>
      </c>
      <c r="E27" s="9" t="str">
        <f t="shared" si="4"/>
        <v>女</v>
      </c>
      <c r="F27" s="9" t="str">
        <f>"63992024042310383471495"</f>
        <v>63992024042310383471495</v>
      </c>
      <c r="G27" s="9" t="str">
        <f t="shared" si="5"/>
        <v>0103</v>
      </c>
      <c r="H27" s="9" t="s">
        <v>12</v>
      </c>
      <c r="I27" s="8"/>
    </row>
    <row r="28" spans="1:9" s="2" customFormat="1" ht="30" customHeight="1">
      <c r="A28" s="8">
        <v>26</v>
      </c>
      <c r="B28" s="9" t="s">
        <v>10</v>
      </c>
      <c r="C28" s="9" t="s">
        <v>14</v>
      </c>
      <c r="D28" s="9" t="str">
        <f>"陈珊珊"</f>
        <v>陈珊珊</v>
      </c>
      <c r="E28" s="9" t="str">
        <f t="shared" si="4"/>
        <v>女</v>
      </c>
      <c r="F28" s="9" t="str">
        <f>"63992024042218372766996"</f>
        <v>63992024042218372766996</v>
      </c>
      <c r="G28" s="9" t="str">
        <f t="shared" si="5"/>
        <v>0103</v>
      </c>
      <c r="H28" s="9" t="s">
        <v>12</v>
      </c>
      <c r="I28" s="8"/>
    </row>
    <row r="29" spans="1:9" s="2" customFormat="1" ht="30" customHeight="1">
      <c r="A29" s="8">
        <v>27</v>
      </c>
      <c r="B29" s="9" t="s">
        <v>10</v>
      </c>
      <c r="C29" s="9" t="s">
        <v>14</v>
      </c>
      <c r="D29" s="9" t="str">
        <f>"徐丽丽"</f>
        <v>徐丽丽</v>
      </c>
      <c r="E29" s="9" t="str">
        <f t="shared" si="4"/>
        <v>女</v>
      </c>
      <c r="F29" s="9" t="str">
        <f>"63992024042318371277799"</f>
        <v>63992024042318371277799</v>
      </c>
      <c r="G29" s="9" t="str">
        <f t="shared" si="5"/>
        <v>0103</v>
      </c>
      <c r="H29" s="9" t="s">
        <v>12</v>
      </c>
      <c r="I29" s="8"/>
    </row>
    <row r="30" spans="1:9" s="2" customFormat="1" ht="30" customHeight="1">
      <c r="A30" s="8">
        <v>28</v>
      </c>
      <c r="B30" s="9" t="s">
        <v>10</v>
      </c>
      <c r="C30" s="9" t="s">
        <v>14</v>
      </c>
      <c r="D30" s="9" t="str">
        <f>"李宇晴"</f>
        <v>李宇晴</v>
      </c>
      <c r="E30" s="9" t="str">
        <f t="shared" si="4"/>
        <v>女</v>
      </c>
      <c r="F30" s="9" t="str">
        <f>"63992024042319432978267"</f>
        <v>63992024042319432978267</v>
      </c>
      <c r="G30" s="9" t="str">
        <f t="shared" si="5"/>
        <v>0103</v>
      </c>
      <c r="H30" s="9" t="s">
        <v>12</v>
      </c>
      <c r="I30" s="8"/>
    </row>
    <row r="31" spans="1:9" s="2" customFormat="1" ht="39.75" customHeight="1">
      <c r="A31" s="8">
        <v>29</v>
      </c>
      <c r="B31" s="9" t="s">
        <v>10</v>
      </c>
      <c r="C31" s="9" t="s">
        <v>14</v>
      </c>
      <c r="D31" s="9" t="str">
        <f>"宛秋阳"</f>
        <v>宛秋阳</v>
      </c>
      <c r="E31" s="9" t="str">
        <f t="shared" si="4"/>
        <v>女</v>
      </c>
      <c r="F31" s="9" t="str">
        <f>"63992024042320142178493"</f>
        <v>63992024042320142178493</v>
      </c>
      <c r="G31" s="9" t="str">
        <f t="shared" si="5"/>
        <v>0103</v>
      </c>
      <c r="H31" s="10" t="s">
        <v>15</v>
      </c>
      <c r="I31" s="8"/>
    </row>
    <row r="32" spans="1:9" s="2" customFormat="1" ht="39.75" customHeight="1">
      <c r="A32" s="8">
        <v>30</v>
      </c>
      <c r="B32" s="9" t="s">
        <v>10</v>
      </c>
      <c r="C32" s="9" t="s">
        <v>14</v>
      </c>
      <c r="D32" s="9" t="str">
        <f>"胡华东"</f>
        <v>胡华东</v>
      </c>
      <c r="E32" s="9" t="str">
        <f>"男"</f>
        <v>男</v>
      </c>
      <c r="F32" s="9" t="str">
        <f>"63992024042221032167815"</f>
        <v>63992024042221032167815</v>
      </c>
      <c r="G32" s="9" t="str">
        <f t="shared" si="5"/>
        <v>0103</v>
      </c>
      <c r="H32" s="10" t="s">
        <v>15</v>
      </c>
      <c r="I32" s="8"/>
    </row>
    <row r="33" spans="1:9" s="2" customFormat="1" ht="30" customHeight="1">
      <c r="A33" s="8">
        <v>31</v>
      </c>
      <c r="B33" s="9" t="s">
        <v>10</v>
      </c>
      <c r="C33" s="9" t="s">
        <v>14</v>
      </c>
      <c r="D33" s="9" t="str">
        <f>"莫其霞"</f>
        <v>莫其霞</v>
      </c>
      <c r="E33" s="9" t="str">
        <f aca="true" t="shared" si="6" ref="E33:E45">"女"</f>
        <v>女</v>
      </c>
      <c r="F33" s="9" t="str">
        <f>"63992024042412353087821"</f>
        <v>63992024042412353087821</v>
      </c>
      <c r="G33" s="9" t="str">
        <f t="shared" si="5"/>
        <v>0103</v>
      </c>
      <c r="H33" s="9" t="s">
        <v>12</v>
      </c>
      <c r="I33" s="8"/>
    </row>
    <row r="34" spans="1:9" s="2" customFormat="1" ht="30" customHeight="1">
      <c r="A34" s="8">
        <v>32</v>
      </c>
      <c r="B34" s="9" t="s">
        <v>10</v>
      </c>
      <c r="C34" s="9" t="s">
        <v>14</v>
      </c>
      <c r="D34" s="9" t="str">
        <f>"杨文娟"</f>
        <v>杨文娟</v>
      </c>
      <c r="E34" s="9" t="str">
        <f t="shared" si="6"/>
        <v>女</v>
      </c>
      <c r="F34" s="9" t="str">
        <f>"63992024042423164093264"</f>
        <v>63992024042423164093264</v>
      </c>
      <c r="G34" s="9" t="str">
        <f t="shared" si="5"/>
        <v>0103</v>
      </c>
      <c r="H34" s="9" t="s">
        <v>12</v>
      </c>
      <c r="I34" s="8"/>
    </row>
    <row r="35" spans="1:9" s="2" customFormat="1" ht="30" customHeight="1">
      <c r="A35" s="8">
        <v>33</v>
      </c>
      <c r="B35" s="9" t="s">
        <v>10</v>
      </c>
      <c r="C35" s="9" t="s">
        <v>14</v>
      </c>
      <c r="D35" s="9" t="str">
        <f>"吴挺花"</f>
        <v>吴挺花</v>
      </c>
      <c r="E35" s="9" t="str">
        <f t="shared" si="6"/>
        <v>女</v>
      </c>
      <c r="F35" s="9" t="str">
        <f>"63992024042423484493353"</f>
        <v>63992024042423484493353</v>
      </c>
      <c r="G35" s="9" t="str">
        <f t="shared" si="5"/>
        <v>0103</v>
      </c>
      <c r="H35" s="9" t="s">
        <v>12</v>
      </c>
      <c r="I35" s="8"/>
    </row>
    <row r="36" spans="1:9" s="2" customFormat="1" ht="30" customHeight="1">
      <c r="A36" s="8">
        <v>34</v>
      </c>
      <c r="B36" s="9" t="s">
        <v>10</v>
      </c>
      <c r="C36" s="9" t="s">
        <v>14</v>
      </c>
      <c r="D36" s="9" t="str">
        <f>"陈霖霞"</f>
        <v>陈霖霞</v>
      </c>
      <c r="E36" s="9" t="str">
        <f t="shared" si="6"/>
        <v>女</v>
      </c>
      <c r="F36" s="9" t="str">
        <f>"63992024042511290495177"</f>
        <v>63992024042511290495177</v>
      </c>
      <c r="G36" s="9" t="str">
        <f t="shared" si="5"/>
        <v>0103</v>
      </c>
      <c r="H36" s="9" t="s">
        <v>12</v>
      </c>
      <c r="I36" s="8"/>
    </row>
    <row r="37" spans="1:9" s="2" customFormat="1" ht="39.75" customHeight="1">
      <c r="A37" s="8">
        <v>35</v>
      </c>
      <c r="B37" s="9" t="s">
        <v>10</v>
      </c>
      <c r="C37" s="9" t="s">
        <v>14</v>
      </c>
      <c r="D37" s="9" t="str">
        <f>"王晶莹"</f>
        <v>王晶莹</v>
      </c>
      <c r="E37" s="9" t="str">
        <f t="shared" si="6"/>
        <v>女</v>
      </c>
      <c r="F37" s="9" t="str">
        <f>"63992024042514135895764"</f>
        <v>63992024042514135895764</v>
      </c>
      <c r="G37" s="9" t="str">
        <f t="shared" si="5"/>
        <v>0103</v>
      </c>
      <c r="H37" s="10" t="s">
        <v>15</v>
      </c>
      <c r="I37" s="8"/>
    </row>
    <row r="38" spans="1:9" s="2" customFormat="1" ht="30" customHeight="1">
      <c r="A38" s="8">
        <v>36</v>
      </c>
      <c r="B38" s="9" t="s">
        <v>10</v>
      </c>
      <c r="C38" s="9" t="s">
        <v>14</v>
      </c>
      <c r="D38" s="9" t="str">
        <f>"黄柳艳"</f>
        <v>黄柳艳</v>
      </c>
      <c r="E38" s="9" t="str">
        <f t="shared" si="6"/>
        <v>女</v>
      </c>
      <c r="F38" s="9" t="str">
        <f>"63992024042516105396982"</f>
        <v>63992024042516105396982</v>
      </c>
      <c r="G38" s="9" t="str">
        <f t="shared" si="5"/>
        <v>0103</v>
      </c>
      <c r="H38" s="9" t="s">
        <v>12</v>
      </c>
      <c r="I38" s="8"/>
    </row>
    <row r="39" spans="1:9" s="2" customFormat="1" ht="30" customHeight="1">
      <c r="A39" s="8">
        <v>37</v>
      </c>
      <c r="B39" s="9" t="s">
        <v>10</v>
      </c>
      <c r="C39" s="9" t="s">
        <v>14</v>
      </c>
      <c r="D39" s="9" t="str">
        <f>"申霑"</f>
        <v>申霑</v>
      </c>
      <c r="E39" s="9" t="str">
        <f t="shared" si="6"/>
        <v>女</v>
      </c>
      <c r="F39" s="9" t="str">
        <f>"63992024042521162397930"</f>
        <v>63992024042521162397930</v>
      </c>
      <c r="G39" s="9" t="str">
        <f t="shared" si="5"/>
        <v>0103</v>
      </c>
      <c r="H39" s="9" t="s">
        <v>12</v>
      </c>
      <c r="I39" s="8"/>
    </row>
    <row r="40" spans="1:9" s="2" customFormat="1" ht="30" customHeight="1">
      <c r="A40" s="8">
        <v>38</v>
      </c>
      <c r="B40" s="9" t="s">
        <v>10</v>
      </c>
      <c r="C40" s="9" t="s">
        <v>14</v>
      </c>
      <c r="D40" s="9" t="str">
        <f>"林怡敏"</f>
        <v>林怡敏</v>
      </c>
      <c r="E40" s="9" t="str">
        <f t="shared" si="6"/>
        <v>女</v>
      </c>
      <c r="F40" s="9" t="str">
        <f>"63992024042521282397985"</f>
        <v>63992024042521282397985</v>
      </c>
      <c r="G40" s="9" t="str">
        <f t="shared" si="5"/>
        <v>0103</v>
      </c>
      <c r="H40" s="9" t="s">
        <v>12</v>
      </c>
      <c r="I40" s="8"/>
    </row>
    <row r="41" spans="1:9" s="2" customFormat="1" ht="30" customHeight="1">
      <c r="A41" s="8">
        <v>39</v>
      </c>
      <c r="B41" s="9" t="s">
        <v>10</v>
      </c>
      <c r="C41" s="9" t="s">
        <v>14</v>
      </c>
      <c r="D41" s="9" t="str">
        <f>"黄健萍"</f>
        <v>黄健萍</v>
      </c>
      <c r="E41" s="9" t="str">
        <f t="shared" si="6"/>
        <v>女</v>
      </c>
      <c r="F41" s="9" t="str">
        <f>"639920240426144029110510"</f>
        <v>639920240426144029110510</v>
      </c>
      <c r="G41" s="9" t="str">
        <f t="shared" si="5"/>
        <v>0103</v>
      </c>
      <c r="H41" s="9" t="s">
        <v>12</v>
      </c>
      <c r="I41" s="8"/>
    </row>
    <row r="42" spans="1:9" s="2" customFormat="1" ht="30" customHeight="1">
      <c r="A42" s="8">
        <v>40</v>
      </c>
      <c r="B42" s="9" t="s">
        <v>10</v>
      </c>
      <c r="C42" s="9" t="s">
        <v>14</v>
      </c>
      <c r="D42" s="9" t="str">
        <f>"陈艳虹"</f>
        <v>陈艳虹</v>
      </c>
      <c r="E42" s="9" t="str">
        <f t="shared" si="6"/>
        <v>女</v>
      </c>
      <c r="F42" s="9" t="str">
        <f>"639920240426135429110350"</f>
        <v>639920240426135429110350</v>
      </c>
      <c r="G42" s="9" t="str">
        <f t="shared" si="5"/>
        <v>0103</v>
      </c>
      <c r="H42" s="9" t="s">
        <v>12</v>
      </c>
      <c r="I42" s="8"/>
    </row>
    <row r="43" spans="1:9" s="2" customFormat="1" ht="30" customHeight="1">
      <c r="A43" s="8">
        <v>41</v>
      </c>
      <c r="B43" s="9" t="s">
        <v>10</v>
      </c>
      <c r="C43" s="9" t="s">
        <v>14</v>
      </c>
      <c r="D43" s="9" t="str">
        <f>"刘晓萌"</f>
        <v>刘晓萌</v>
      </c>
      <c r="E43" s="9" t="str">
        <f t="shared" si="6"/>
        <v>女</v>
      </c>
      <c r="F43" s="9" t="str">
        <f>"63992024042519575997699"</f>
        <v>63992024042519575997699</v>
      </c>
      <c r="G43" s="9" t="str">
        <f t="shared" si="5"/>
        <v>0103</v>
      </c>
      <c r="H43" s="9" t="s">
        <v>12</v>
      </c>
      <c r="I43" s="8"/>
    </row>
    <row r="44" spans="1:9" s="2" customFormat="1" ht="30" customHeight="1">
      <c r="A44" s="8">
        <v>42</v>
      </c>
      <c r="B44" s="9" t="s">
        <v>10</v>
      </c>
      <c r="C44" s="9" t="s">
        <v>14</v>
      </c>
      <c r="D44" s="9" t="str">
        <f>"张议"</f>
        <v>张议</v>
      </c>
      <c r="E44" s="9" t="str">
        <f t="shared" si="6"/>
        <v>女</v>
      </c>
      <c r="F44" s="9" t="str">
        <f>"639920240426135228110341"</f>
        <v>639920240426135228110341</v>
      </c>
      <c r="G44" s="9" t="str">
        <f t="shared" si="5"/>
        <v>0103</v>
      </c>
      <c r="H44" s="9" t="s">
        <v>12</v>
      </c>
      <c r="I44" s="8"/>
    </row>
    <row r="45" spans="1:9" s="2" customFormat="1" ht="30" customHeight="1">
      <c r="A45" s="8">
        <v>43</v>
      </c>
      <c r="B45" s="9" t="s">
        <v>10</v>
      </c>
      <c r="C45" s="9" t="s">
        <v>14</v>
      </c>
      <c r="D45" s="9" t="str">
        <f>"王秋月"</f>
        <v>王秋月</v>
      </c>
      <c r="E45" s="9" t="str">
        <f t="shared" si="6"/>
        <v>女</v>
      </c>
      <c r="F45" s="9" t="str">
        <f>"63992024042316590976053"</f>
        <v>63992024042316590976053</v>
      </c>
      <c r="G45" s="9" t="str">
        <f t="shared" si="5"/>
        <v>0103</v>
      </c>
      <c r="H45" s="9" t="s">
        <v>12</v>
      </c>
      <c r="I45" s="8"/>
    </row>
    <row r="46" spans="1:9" s="2" customFormat="1" ht="30" customHeight="1">
      <c r="A46" s="8">
        <v>44</v>
      </c>
      <c r="B46" s="9" t="s">
        <v>10</v>
      </c>
      <c r="C46" s="9" t="s">
        <v>14</v>
      </c>
      <c r="D46" s="9" t="str">
        <f>"李中唐"</f>
        <v>李中唐</v>
      </c>
      <c r="E46" s="9" t="str">
        <f>"男"</f>
        <v>男</v>
      </c>
      <c r="F46" s="9" t="str">
        <f>"639920240426174943111167"</f>
        <v>639920240426174943111167</v>
      </c>
      <c r="G46" s="9" t="str">
        <f t="shared" si="5"/>
        <v>0103</v>
      </c>
      <c r="H46" s="9" t="s">
        <v>12</v>
      </c>
      <c r="I46" s="8"/>
    </row>
    <row r="47" spans="1:9" s="2" customFormat="1" ht="30" customHeight="1">
      <c r="A47" s="8">
        <v>45</v>
      </c>
      <c r="B47" s="9" t="s">
        <v>10</v>
      </c>
      <c r="C47" s="9" t="s">
        <v>14</v>
      </c>
      <c r="D47" s="9" t="str">
        <f>"符丰洁"</f>
        <v>符丰洁</v>
      </c>
      <c r="E47" s="9" t="str">
        <f aca="true" t="shared" si="7" ref="E47:E59">"女"</f>
        <v>女</v>
      </c>
      <c r="F47" s="9" t="str">
        <f>"639920240426085223109078"</f>
        <v>639920240426085223109078</v>
      </c>
      <c r="G47" s="9" t="str">
        <f t="shared" si="5"/>
        <v>0103</v>
      </c>
      <c r="H47" s="9" t="s">
        <v>12</v>
      </c>
      <c r="I47" s="8"/>
    </row>
    <row r="48" spans="1:9" s="2" customFormat="1" ht="30" customHeight="1">
      <c r="A48" s="8">
        <v>46</v>
      </c>
      <c r="B48" s="9" t="s">
        <v>10</v>
      </c>
      <c r="C48" s="9" t="s">
        <v>14</v>
      </c>
      <c r="D48" s="9" t="str">
        <f>"王海萱"</f>
        <v>王海萱</v>
      </c>
      <c r="E48" s="9" t="str">
        <f t="shared" si="7"/>
        <v>女</v>
      </c>
      <c r="F48" s="9" t="str">
        <f>"639920240427183025113433"</f>
        <v>639920240427183025113433</v>
      </c>
      <c r="G48" s="9" t="str">
        <f t="shared" si="5"/>
        <v>0103</v>
      </c>
      <c r="H48" s="9" t="s">
        <v>12</v>
      </c>
      <c r="I48" s="8"/>
    </row>
    <row r="49" spans="1:9" s="2" customFormat="1" ht="30" customHeight="1">
      <c r="A49" s="8">
        <v>47</v>
      </c>
      <c r="B49" s="9" t="s">
        <v>10</v>
      </c>
      <c r="C49" s="9" t="s">
        <v>14</v>
      </c>
      <c r="D49" s="9" t="str">
        <f>"陈珊珊"</f>
        <v>陈珊珊</v>
      </c>
      <c r="E49" s="9" t="str">
        <f t="shared" si="7"/>
        <v>女</v>
      </c>
      <c r="F49" s="9" t="str">
        <f>"639920240427222414113908"</f>
        <v>639920240427222414113908</v>
      </c>
      <c r="G49" s="9" t="str">
        <f t="shared" si="5"/>
        <v>0103</v>
      </c>
      <c r="H49" s="9" t="s">
        <v>12</v>
      </c>
      <c r="I49" s="8"/>
    </row>
    <row r="50" spans="1:9" s="2" customFormat="1" ht="30" customHeight="1">
      <c r="A50" s="8">
        <v>48</v>
      </c>
      <c r="B50" s="9" t="s">
        <v>10</v>
      </c>
      <c r="C50" s="9" t="s">
        <v>14</v>
      </c>
      <c r="D50" s="9" t="str">
        <f>"陈乙红"</f>
        <v>陈乙红</v>
      </c>
      <c r="E50" s="9" t="str">
        <f t="shared" si="7"/>
        <v>女</v>
      </c>
      <c r="F50" s="9" t="str">
        <f>"639920240428103518114953"</f>
        <v>639920240428103518114953</v>
      </c>
      <c r="G50" s="9" t="str">
        <f t="shared" si="5"/>
        <v>0103</v>
      </c>
      <c r="H50" s="9" t="s">
        <v>12</v>
      </c>
      <c r="I50" s="8"/>
    </row>
    <row r="51" spans="1:9" s="2" customFormat="1" ht="30" customHeight="1">
      <c r="A51" s="8">
        <v>49</v>
      </c>
      <c r="B51" s="9" t="s">
        <v>10</v>
      </c>
      <c r="C51" s="9" t="s">
        <v>14</v>
      </c>
      <c r="D51" s="9" t="str">
        <f>"乔莹"</f>
        <v>乔莹</v>
      </c>
      <c r="E51" s="9" t="str">
        <f t="shared" si="7"/>
        <v>女</v>
      </c>
      <c r="F51" s="9" t="str">
        <f>"639920240428112828115263"</f>
        <v>639920240428112828115263</v>
      </c>
      <c r="G51" s="9" t="str">
        <f t="shared" si="5"/>
        <v>0103</v>
      </c>
      <c r="H51" s="9" t="s">
        <v>12</v>
      </c>
      <c r="I51" s="8"/>
    </row>
    <row r="52" spans="1:9" s="2" customFormat="1" ht="30" customHeight="1">
      <c r="A52" s="8">
        <v>50</v>
      </c>
      <c r="B52" s="9" t="s">
        <v>10</v>
      </c>
      <c r="C52" s="9" t="s">
        <v>14</v>
      </c>
      <c r="D52" s="9" t="str">
        <f>"何鑫"</f>
        <v>何鑫</v>
      </c>
      <c r="E52" s="9" t="str">
        <f t="shared" si="7"/>
        <v>女</v>
      </c>
      <c r="F52" s="9" t="str">
        <f>"639920240428121704115448"</f>
        <v>639920240428121704115448</v>
      </c>
      <c r="G52" s="9" t="str">
        <f t="shared" si="5"/>
        <v>0103</v>
      </c>
      <c r="H52" s="9" t="s">
        <v>12</v>
      </c>
      <c r="I52" s="8"/>
    </row>
    <row r="53" spans="1:9" s="2" customFormat="1" ht="30" customHeight="1">
      <c r="A53" s="8">
        <v>51</v>
      </c>
      <c r="B53" s="9" t="s">
        <v>10</v>
      </c>
      <c r="C53" s="9" t="s">
        <v>14</v>
      </c>
      <c r="D53" s="9" t="str">
        <f>"蔡梦欣"</f>
        <v>蔡梦欣</v>
      </c>
      <c r="E53" s="9" t="str">
        <f t="shared" si="7"/>
        <v>女</v>
      </c>
      <c r="F53" s="9" t="str">
        <f>"639920240428173507116548"</f>
        <v>639920240428173507116548</v>
      </c>
      <c r="G53" s="9" t="str">
        <f t="shared" si="5"/>
        <v>0103</v>
      </c>
      <c r="H53" s="9" t="s">
        <v>12</v>
      </c>
      <c r="I53" s="8"/>
    </row>
    <row r="54" spans="1:9" s="2" customFormat="1" ht="30" customHeight="1">
      <c r="A54" s="8">
        <v>52</v>
      </c>
      <c r="B54" s="9" t="s">
        <v>10</v>
      </c>
      <c r="C54" s="9" t="s">
        <v>14</v>
      </c>
      <c r="D54" s="9" t="str">
        <f>"陈欢"</f>
        <v>陈欢</v>
      </c>
      <c r="E54" s="9" t="str">
        <f t="shared" si="7"/>
        <v>女</v>
      </c>
      <c r="F54" s="9" t="str">
        <f>"639920240426200820111401"</f>
        <v>639920240426200820111401</v>
      </c>
      <c r="G54" s="9" t="str">
        <f t="shared" si="5"/>
        <v>0103</v>
      </c>
      <c r="H54" s="9" t="s">
        <v>12</v>
      </c>
      <c r="I54" s="8"/>
    </row>
    <row r="55" spans="1:9" s="2" customFormat="1" ht="30" customHeight="1">
      <c r="A55" s="8">
        <v>53</v>
      </c>
      <c r="B55" s="9" t="s">
        <v>10</v>
      </c>
      <c r="C55" s="9" t="s">
        <v>14</v>
      </c>
      <c r="D55" s="9" t="str">
        <f>"雷安娜"</f>
        <v>雷安娜</v>
      </c>
      <c r="E55" s="9" t="str">
        <f t="shared" si="7"/>
        <v>女</v>
      </c>
      <c r="F55" s="9" t="str">
        <f>"639920240429001623117343"</f>
        <v>639920240429001623117343</v>
      </c>
      <c r="G55" s="9" t="str">
        <f t="shared" si="5"/>
        <v>0103</v>
      </c>
      <c r="H55" s="9" t="s">
        <v>12</v>
      </c>
      <c r="I55" s="8"/>
    </row>
    <row r="56" spans="1:9" s="2" customFormat="1" ht="30" customHeight="1">
      <c r="A56" s="8">
        <v>54</v>
      </c>
      <c r="B56" s="9" t="s">
        <v>10</v>
      </c>
      <c r="C56" s="9" t="s">
        <v>14</v>
      </c>
      <c r="D56" s="9" t="str">
        <f>"王艺诺"</f>
        <v>王艺诺</v>
      </c>
      <c r="E56" s="9" t="str">
        <f t="shared" si="7"/>
        <v>女</v>
      </c>
      <c r="F56" s="9" t="str">
        <f>"639920240429140053118957"</f>
        <v>639920240429140053118957</v>
      </c>
      <c r="G56" s="9" t="str">
        <f t="shared" si="5"/>
        <v>0103</v>
      </c>
      <c r="H56" s="9" t="s">
        <v>12</v>
      </c>
      <c r="I56" s="8"/>
    </row>
    <row r="57" spans="1:9" s="2" customFormat="1" ht="30" customHeight="1">
      <c r="A57" s="8">
        <v>55</v>
      </c>
      <c r="B57" s="9" t="s">
        <v>10</v>
      </c>
      <c r="C57" s="9" t="s">
        <v>14</v>
      </c>
      <c r="D57" s="9" t="str">
        <f>"林飞燕"</f>
        <v>林飞燕</v>
      </c>
      <c r="E57" s="9" t="str">
        <f t="shared" si="7"/>
        <v>女</v>
      </c>
      <c r="F57" s="9" t="str">
        <f>"639920240429160358119543"</f>
        <v>639920240429160358119543</v>
      </c>
      <c r="G57" s="9" t="str">
        <f t="shared" si="5"/>
        <v>0103</v>
      </c>
      <c r="H57" s="9" t="s">
        <v>12</v>
      </c>
      <c r="I57" s="8"/>
    </row>
    <row r="58" spans="1:9" s="2" customFormat="1" ht="30" customHeight="1">
      <c r="A58" s="8">
        <v>56</v>
      </c>
      <c r="B58" s="9" t="s">
        <v>10</v>
      </c>
      <c r="C58" s="9" t="s">
        <v>16</v>
      </c>
      <c r="D58" s="9" t="str">
        <f>"郭圣汝"</f>
        <v>郭圣汝</v>
      </c>
      <c r="E58" s="9" t="str">
        <f t="shared" si="7"/>
        <v>女</v>
      </c>
      <c r="F58" s="9" t="str">
        <f>"63992024041916500351426"</f>
        <v>63992024041916500351426</v>
      </c>
      <c r="G58" s="9" t="str">
        <f aca="true" t="shared" si="8" ref="G58:G121">"0104"</f>
        <v>0104</v>
      </c>
      <c r="H58" s="9" t="s">
        <v>12</v>
      </c>
      <c r="I58" s="8"/>
    </row>
    <row r="59" spans="1:9" s="2" customFormat="1" ht="30" customHeight="1">
      <c r="A59" s="8">
        <v>57</v>
      </c>
      <c r="B59" s="9" t="s">
        <v>10</v>
      </c>
      <c r="C59" s="9" t="s">
        <v>16</v>
      </c>
      <c r="D59" s="9" t="str">
        <f>"陈小翠"</f>
        <v>陈小翠</v>
      </c>
      <c r="E59" s="9" t="str">
        <f t="shared" si="7"/>
        <v>女</v>
      </c>
      <c r="F59" s="9" t="str">
        <f>"63992024041916485251417"</f>
        <v>63992024041916485251417</v>
      </c>
      <c r="G59" s="9" t="str">
        <f t="shared" si="8"/>
        <v>0104</v>
      </c>
      <c r="H59" s="9" t="s">
        <v>12</v>
      </c>
      <c r="I59" s="8"/>
    </row>
    <row r="60" spans="1:9" s="2" customFormat="1" ht="30" customHeight="1">
      <c r="A60" s="8">
        <v>58</v>
      </c>
      <c r="B60" s="9" t="s">
        <v>10</v>
      </c>
      <c r="C60" s="9" t="s">
        <v>16</v>
      </c>
      <c r="D60" s="9" t="str">
        <f>"王鑫洋"</f>
        <v>王鑫洋</v>
      </c>
      <c r="E60" s="9" t="str">
        <f>"男"</f>
        <v>男</v>
      </c>
      <c r="F60" s="9" t="str">
        <f>"63992024041918032351623"</f>
        <v>63992024041918032351623</v>
      </c>
      <c r="G60" s="9" t="str">
        <f t="shared" si="8"/>
        <v>0104</v>
      </c>
      <c r="H60" s="9" t="s">
        <v>12</v>
      </c>
      <c r="I60" s="8"/>
    </row>
    <row r="61" spans="1:9" s="2" customFormat="1" ht="30" customHeight="1">
      <c r="A61" s="8">
        <v>59</v>
      </c>
      <c r="B61" s="9" t="s">
        <v>10</v>
      </c>
      <c r="C61" s="9" t="s">
        <v>16</v>
      </c>
      <c r="D61" s="9" t="str">
        <f>"林子栋"</f>
        <v>林子栋</v>
      </c>
      <c r="E61" s="9" t="str">
        <f aca="true" t="shared" si="9" ref="E61:E79">"女"</f>
        <v>女</v>
      </c>
      <c r="F61" s="9" t="str">
        <f>"63992024041919164751762"</f>
        <v>63992024041919164751762</v>
      </c>
      <c r="G61" s="9" t="str">
        <f t="shared" si="8"/>
        <v>0104</v>
      </c>
      <c r="H61" s="9" t="s">
        <v>12</v>
      </c>
      <c r="I61" s="8"/>
    </row>
    <row r="62" spans="1:9" s="2" customFormat="1" ht="30" customHeight="1">
      <c r="A62" s="8">
        <v>60</v>
      </c>
      <c r="B62" s="9" t="s">
        <v>10</v>
      </c>
      <c r="C62" s="9" t="s">
        <v>16</v>
      </c>
      <c r="D62" s="9" t="str">
        <f>"江蕾"</f>
        <v>江蕾</v>
      </c>
      <c r="E62" s="9" t="str">
        <f t="shared" si="9"/>
        <v>女</v>
      </c>
      <c r="F62" s="9" t="str">
        <f>"63992024041919471751813"</f>
        <v>63992024041919471751813</v>
      </c>
      <c r="G62" s="9" t="str">
        <f t="shared" si="8"/>
        <v>0104</v>
      </c>
      <c r="H62" s="9" t="s">
        <v>12</v>
      </c>
      <c r="I62" s="8"/>
    </row>
    <row r="63" spans="1:9" s="2" customFormat="1" ht="30" customHeight="1">
      <c r="A63" s="8">
        <v>61</v>
      </c>
      <c r="B63" s="9" t="s">
        <v>10</v>
      </c>
      <c r="C63" s="9" t="s">
        <v>16</v>
      </c>
      <c r="D63" s="9" t="str">
        <f>"唐全"</f>
        <v>唐全</v>
      </c>
      <c r="E63" s="9" t="str">
        <f>"男"</f>
        <v>男</v>
      </c>
      <c r="F63" s="9" t="str">
        <f>"63992024041919595651839"</f>
        <v>63992024041919595651839</v>
      </c>
      <c r="G63" s="9" t="str">
        <f t="shared" si="8"/>
        <v>0104</v>
      </c>
      <c r="H63" s="9" t="s">
        <v>12</v>
      </c>
      <c r="I63" s="8"/>
    </row>
    <row r="64" spans="1:9" s="2" customFormat="1" ht="30" customHeight="1">
      <c r="A64" s="8">
        <v>62</v>
      </c>
      <c r="B64" s="9" t="s">
        <v>10</v>
      </c>
      <c r="C64" s="9" t="s">
        <v>16</v>
      </c>
      <c r="D64" s="9" t="str">
        <f>"陈燕"</f>
        <v>陈燕</v>
      </c>
      <c r="E64" s="9" t="str">
        <f t="shared" si="9"/>
        <v>女</v>
      </c>
      <c r="F64" s="9" t="str">
        <f>"63992024041919310951783"</f>
        <v>63992024041919310951783</v>
      </c>
      <c r="G64" s="9" t="str">
        <f t="shared" si="8"/>
        <v>0104</v>
      </c>
      <c r="H64" s="9" t="s">
        <v>12</v>
      </c>
      <c r="I64" s="8"/>
    </row>
    <row r="65" spans="1:9" s="2" customFormat="1" ht="30" customHeight="1">
      <c r="A65" s="8">
        <v>63</v>
      </c>
      <c r="B65" s="9" t="s">
        <v>10</v>
      </c>
      <c r="C65" s="9" t="s">
        <v>16</v>
      </c>
      <c r="D65" s="9" t="str">
        <f>"王君"</f>
        <v>王君</v>
      </c>
      <c r="E65" s="9" t="str">
        <f t="shared" si="9"/>
        <v>女</v>
      </c>
      <c r="F65" s="9" t="str">
        <f>"63992024042008543652314"</f>
        <v>63992024042008543652314</v>
      </c>
      <c r="G65" s="9" t="str">
        <f t="shared" si="8"/>
        <v>0104</v>
      </c>
      <c r="H65" s="9" t="s">
        <v>12</v>
      </c>
      <c r="I65" s="8"/>
    </row>
    <row r="66" spans="1:9" s="2" customFormat="1" ht="30" customHeight="1">
      <c r="A66" s="8">
        <v>64</v>
      </c>
      <c r="B66" s="9" t="s">
        <v>10</v>
      </c>
      <c r="C66" s="9" t="s">
        <v>16</v>
      </c>
      <c r="D66" s="9" t="str">
        <f>"洪莉燕"</f>
        <v>洪莉燕</v>
      </c>
      <c r="E66" s="9" t="str">
        <f t="shared" si="9"/>
        <v>女</v>
      </c>
      <c r="F66" s="9" t="str">
        <f>"63992024042015452152917"</f>
        <v>63992024042015452152917</v>
      </c>
      <c r="G66" s="9" t="str">
        <f t="shared" si="8"/>
        <v>0104</v>
      </c>
      <c r="H66" s="9" t="s">
        <v>12</v>
      </c>
      <c r="I66" s="8"/>
    </row>
    <row r="67" spans="1:9" s="2" customFormat="1" ht="39.75" customHeight="1">
      <c r="A67" s="8">
        <v>65</v>
      </c>
      <c r="B67" s="9" t="s">
        <v>10</v>
      </c>
      <c r="C67" s="9" t="s">
        <v>16</v>
      </c>
      <c r="D67" s="9" t="str">
        <f>"陈君联"</f>
        <v>陈君联</v>
      </c>
      <c r="E67" s="9" t="str">
        <f t="shared" si="9"/>
        <v>女</v>
      </c>
      <c r="F67" s="9" t="str">
        <f>"63992024042013410152733"</f>
        <v>63992024042013410152733</v>
      </c>
      <c r="G67" s="9" t="str">
        <f t="shared" si="8"/>
        <v>0104</v>
      </c>
      <c r="H67" s="10" t="s">
        <v>15</v>
      </c>
      <c r="I67" s="8"/>
    </row>
    <row r="68" spans="1:9" s="2" customFormat="1" ht="30" customHeight="1">
      <c r="A68" s="8">
        <v>66</v>
      </c>
      <c r="B68" s="9" t="s">
        <v>10</v>
      </c>
      <c r="C68" s="9" t="s">
        <v>16</v>
      </c>
      <c r="D68" s="9" t="str">
        <f>"胡紫藤"</f>
        <v>胡紫藤</v>
      </c>
      <c r="E68" s="9" t="str">
        <f t="shared" si="9"/>
        <v>女</v>
      </c>
      <c r="F68" s="9" t="str">
        <f>"63992024042111355457102"</f>
        <v>63992024042111355457102</v>
      </c>
      <c r="G68" s="9" t="str">
        <f t="shared" si="8"/>
        <v>0104</v>
      </c>
      <c r="H68" s="9" t="s">
        <v>12</v>
      </c>
      <c r="I68" s="8"/>
    </row>
    <row r="69" spans="1:9" s="2" customFormat="1" ht="30" customHeight="1">
      <c r="A69" s="8">
        <v>67</v>
      </c>
      <c r="B69" s="9" t="s">
        <v>10</v>
      </c>
      <c r="C69" s="9" t="s">
        <v>16</v>
      </c>
      <c r="D69" s="9" t="str">
        <f>"张名娟"</f>
        <v>张名娟</v>
      </c>
      <c r="E69" s="9" t="str">
        <f t="shared" si="9"/>
        <v>女</v>
      </c>
      <c r="F69" s="9" t="str">
        <f>"63992024042111412657110"</f>
        <v>63992024042111412657110</v>
      </c>
      <c r="G69" s="9" t="str">
        <f t="shared" si="8"/>
        <v>0104</v>
      </c>
      <c r="H69" s="9" t="s">
        <v>12</v>
      </c>
      <c r="I69" s="8"/>
    </row>
    <row r="70" spans="1:9" s="2" customFormat="1" ht="30" customHeight="1">
      <c r="A70" s="8">
        <v>68</v>
      </c>
      <c r="B70" s="9" t="s">
        <v>10</v>
      </c>
      <c r="C70" s="9" t="s">
        <v>16</v>
      </c>
      <c r="D70" s="9" t="str">
        <f>"邢燕"</f>
        <v>邢燕</v>
      </c>
      <c r="E70" s="9" t="str">
        <f t="shared" si="9"/>
        <v>女</v>
      </c>
      <c r="F70" s="9" t="str">
        <f>"63992024042115434957493"</f>
        <v>63992024042115434957493</v>
      </c>
      <c r="G70" s="9" t="str">
        <f t="shared" si="8"/>
        <v>0104</v>
      </c>
      <c r="H70" s="9" t="s">
        <v>12</v>
      </c>
      <c r="I70" s="8"/>
    </row>
    <row r="71" spans="1:9" s="2" customFormat="1" ht="30" customHeight="1">
      <c r="A71" s="8">
        <v>69</v>
      </c>
      <c r="B71" s="9" t="s">
        <v>10</v>
      </c>
      <c r="C71" s="9" t="s">
        <v>16</v>
      </c>
      <c r="D71" s="9" t="str">
        <f>"符用玲"</f>
        <v>符用玲</v>
      </c>
      <c r="E71" s="9" t="str">
        <f t="shared" si="9"/>
        <v>女</v>
      </c>
      <c r="F71" s="9" t="str">
        <f>"63992024042117210757637"</f>
        <v>63992024042117210757637</v>
      </c>
      <c r="G71" s="9" t="str">
        <f t="shared" si="8"/>
        <v>0104</v>
      </c>
      <c r="H71" s="9" t="s">
        <v>12</v>
      </c>
      <c r="I71" s="8"/>
    </row>
    <row r="72" spans="1:9" s="2" customFormat="1" ht="30" customHeight="1">
      <c r="A72" s="8">
        <v>70</v>
      </c>
      <c r="B72" s="9" t="s">
        <v>10</v>
      </c>
      <c r="C72" s="9" t="s">
        <v>16</v>
      </c>
      <c r="D72" s="9" t="str">
        <f>"叶焕君"</f>
        <v>叶焕君</v>
      </c>
      <c r="E72" s="9" t="str">
        <f t="shared" si="9"/>
        <v>女</v>
      </c>
      <c r="F72" s="9" t="str">
        <f>"63992024041921485552065"</f>
        <v>63992024041921485552065</v>
      </c>
      <c r="G72" s="9" t="str">
        <f t="shared" si="8"/>
        <v>0104</v>
      </c>
      <c r="H72" s="9" t="s">
        <v>12</v>
      </c>
      <c r="I72" s="8"/>
    </row>
    <row r="73" spans="1:9" s="2" customFormat="1" ht="30" customHeight="1">
      <c r="A73" s="8">
        <v>71</v>
      </c>
      <c r="B73" s="9" t="s">
        <v>10</v>
      </c>
      <c r="C73" s="9" t="s">
        <v>16</v>
      </c>
      <c r="D73" s="9" t="str">
        <f>"林能玲"</f>
        <v>林能玲</v>
      </c>
      <c r="E73" s="9" t="str">
        <f t="shared" si="9"/>
        <v>女</v>
      </c>
      <c r="F73" s="9" t="str">
        <f>"63992024041919513651823"</f>
        <v>63992024041919513651823</v>
      </c>
      <c r="G73" s="9" t="str">
        <f t="shared" si="8"/>
        <v>0104</v>
      </c>
      <c r="H73" s="9" t="s">
        <v>12</v>
      </c>
      <c r="I73" s="8"/>
    </row>
    <row r="74" spans="1:9" s="2" customFormat="1" ht="30" customHeight="1">
      <c r="A74" s="8">
        <v>72</v>
      </c>
      <c r="B74" s="9" t="s">
        <v>10</v>
      </c>
      <c r="C74" s="9" t="s">
        <v>16</v>
      </c>
      <c r="D74" s="9" t="str">
        <f>"王柔婷"</f>
        <v>王柔婷</v>
      </c>
      <c r="E74" s="9" t="str">
        <f t="shared" si="9"/>
        <v>女</v>
      </c>
      <c r="F74" s="9" t="str">
        <f>"63992024042121464157959"</f>
        <v>63992024042121464157959</v>
      </c>
      <c r="G74" s="9" t="str">
        <f t="shared" si="8"/>
        <v>0104</v>
      </c>
      <c r="H74" s="9" t="s">
        <v>12</v>
      </c>
      <c r="I74" s="8"/>
    </row>
    <row r="75" spans="1:9" s="2" customFormat="1" ht="30" customHeight="1">
      <c r="A75" s="8">
        <v>73</v>
      </c>
      <c r="B75" s="9" t="s">
        <v>10</v>
      </c>
      <c r="C75" s="9" t="s">
        <v>16</v>
      </c>
      <c r="D75" s="9" t="str">
        <f>"符玉芬"</f>
        <v>符玉芬</v>
      </c>
      <c r="E75" s="9" t="str">
        <f t="shared" si="9"/>
        <v>女</v>
      </c>
      <c r="F75" s="9" t="str">
        <f>"63992024042208265258378"</f>
        <v>63992024042208265258378</v>
      </c>
      <c r="G75" s="9" t="str">
        <f t="shared" si="8"/>
        <v>0104</v>
      </c>
      <c r="H75" s="9" t="s">
        <v>12</v>
      </c>
      <c r="I75" s="8"/>
    </row>
    <row r="76" spans="1:9" s="2" customFormat="1" ht="30" customHeight="1">
      <c r="A76" s="8">
        <v>74</v>
      </c>
      <c r="B76" s="9" t="s">
        <v>10</v>
      </c>
      <c r="C76" s="9" t="s">
        <v>16</v>
      </c>
      <c r="D76" s="9" t="str">
        <f>"符兰秀"</f>
        <v>符兰秀</v>
      </c>
      <c r="E76" s="9" t="str">
        <f t="shared" si="9"/>
        <v>女</v>
      </c>
      <c r="F76" s="9" t="str">
        <f>"63992024042209000458702"</f>
        <v>63992024042209000458702</v>
      </c>
      <c r="G76" s="9" t="str">
        <f t="shared" si="8"/>
        <v>0104</v>
      </c>
      <c r="H76" s="9" t="s">
        <v>12</v>
      </c>
      <c r="I76" s="8"/>
    </row>
    <row r="77" spans="1:9" s="2" customFormat="1" ht="30" customHeight="1">
      <c r="A77" s="8">
        <v>75</v>
      </c>
      <c r="B77" s="9" t="s">
        <v>10</v>
      </c>
      <c r="C77" s="9" t="s">
        <v>16</v>
      </c>
      <c r="D77" s="9" t="str">
        <f>"王振霞"</f>
        <v>王振霞</v>
      </c>
      <c r="E77" s="9" t="str">
        <f t="shared" si="9"/>
        <v>女</v>
      </c>
      <c r="F77" s="9" t="str">
        <f>"63992024042208465058564"</f>
        <v>63992024042208465058564</v>
      </c>
      <c r="G77" s="9" t="str">
        <f t="shared" si="8"/>
        <v>0104</v>
      </c>
      <c r="H77" s="9" t="s">
        <v>12</v>
      </c>
      <c r="I77" s="8"/>
    </row>
    <row r="78" spans="1:9" s="2" customFormat="1" ht="30" customHeight="1">
      <c r="A78" s="8">
        <v>76</v>
      </c>
      <c r="B78" s="9" t="s">
        <v>10</v>
      </c>
      <c r="C78" s="9" t="s">
        <v>16</v>
      </c>
      <c r="D78" s="9" t="str">
        <f>"李誉丹"</f>
        <v>李誉丹</v>
      </c>
      <c r="E78" s="9" t="str">
        <f t="shared" si="9"/>
        <v>女</v>
      </c>
      <c r="F78" s="9" t="str">
        <f>"63992024042209270359224"</f>
        <v>63992024042209270359224</v>
      </c>
      <c r="G78" s="9" t="str">
        <f t="shared" si="8"/>
        <v>0104</v>
      </c>
      <c r="H78" s="9" t="s">
        <v>12</v>
      </c>
      <c r="I78" s="8"/>
    </row>
    <row r="79" spans="1:9" s="2" customFormat="1" ht="30" customHeight="1">
      <c r="A79" s="8">
        <v>77</v>
      </c>
      <c r="B79" s="9" t="s">
        <v>10</v>
      </c>
      <c r="C79" s="9" t="s">
        <v>16</v>
      </c>
      <c r="D79" s="9" t="str">
        <f>"符传丹"</f>
        <v>符传丹</v>
      </c>
      <c r="E79" s="9" t="str">
        <f t="shared" si="9"/>
        <v>女</v>
      </c>
      <c r="F79" s="9" t="str">
        <f>"63992024041919151051757"</f>
        <v>63992024041919151051757</v>
      </c>
      <c r="G79" s="9" t="str">
        <f t="shared" si="8"/>
        <v>0104</v>
      </c>
      <c r="H79" s="9" t="s">
        <v>12</v>
      </c>
      <c r="I79" s="8"/>
    </row>
    <row r="80" spans="1:9" s="2" customFormat="1" ht="30" customHeight="1">
      <c r="A80" s="8">
        <v>78</v>
      </c>
      <c r="B80" s="9" t="s">
        <v>10</v>
      </c>
      <c r="C80" s="9" t="s">
        <v>16</v>
      </c>
      <c r="D80" s="9" t="str">
        <f>"郑义锋"</f>
        <v>郑义锋</v>
      </c>
      <c r="E80" s="9" t="str">
        <f>"男"</f>
        <v>男</v>
      </c>
      <c r="F80" s="9" t="str">
        <f>"63992024042119232157771"</f>
        <v>63992024042119232157771</v>
      </c>
      <c r="G80" s="9" t="str">
        <f t="shared" si="8"/>
        <v>0104</v>
      </c>
      <c r="H80" s="9" t="s">
        <v>12</v>
      </c>
      <c r="I80" s="8"/>
    </row>
    <row r="81" spans="1:9" s="2" customFormat="1" ht="30" customHeight="1">
      <c r="A81" s="8">
        <v>79</v>
      </c>
      <c r="B81" s="9" t="s">
        <v>10</v>
      </c>
      <c r="C81" s="9" t="s">
        <v>16</v>
      </c>
      <c r="D81" s="9" t="str">
        <f>"吉春列"</f>
        <v>吉春列</v>
      </c>
      <c r="E81" s="9" t="str">
        <f aca="true" t="shared" si="10" ref="E81:E84">"女"</f>
        <v>女</v>
      </c>
      <c r="F81" s="9" t="str">
        <f>"63992024042209371859388"</f>
        <v>63992024042209371859388</v>
      </c>
      <c r="G81" s="9" t="str">
        <f t="shared" si="8"/>
        <v>0104</v>
      </c>
      <c r="H81" s="9" t="s">
        <v>12</v>
      </c>
      <c r="I81" s="8"/>
    </row>
    <row r="82" spans="1:9" s="2" customFormat="1" ht="30" customHeight="1">
      <c r="A82" s="8">
        <v>80</v>
      </c>
      <c r="B82" s="9" t="s">
        <v>10</v>
      </c>
      <c r="C82" s="9" t="s">
        <v>16</v>
      </c>
      <c r="D82" s="9" t="str">
        <f>"徐彤"</f>
        <v>徐彤</v>
      </c>
      <c r="E82" s="9" t="str">
        <f t="shared" si="10"/>
        <v>女</v>
      </c>
      <c r="F82" s="9" t="str">
        <f>"63992024042209511059600"</f>
        <v>63992024042209511059600</v>
      </c>
      <c r="G82" s="9" t="str">
        <f t="shared" si="8"/>
        <v>0104</v>
      </c>
      <c r="H82" s="9" t="s">
        <v>12</v>
      </c>
      <c r="I82" s="8"/>
    </row>
    <row r="83" spans="1:9" s="2" customFormat="1" ht="30" customHeight="1">
      <c r="A83" s="8">
        <v>81</v>
      </c>
      <c r="B83" s="9" t="s">
        <v>10</v>
      </c>
      <c r="C83" s="9" t="s">
        <v>16</v>
      </c>
      <c r="D83" s="9" t="str">
        <f>"张芳梅"</f>
        <v>张芳梅</v>
      </c>
      <c r="E83" s="9" t="str">
        <f t="shared" si="10"/>
        <v>女</v>
      </c>
      <c r="F83" s="9" t="str">
        <f>"63992024042209533459630"</f>
        <v>63992024042209533459630</v>
      </c>
      <c r="G83" s="9" t="str">
        <f t="shared" si="8"/>
        <v>0104</v>
      </c>
      <c r="H83" s="9" t="s">
        <v>12</v>
      </c>
      <c r="I83" s="8"/>
    </row>
    <row r="84" spans="1:9" s="2" customFormat="1" ht="30" customHeight="1">
      <c r="A84" s="8">
        <v>82</v>
      </c>
      <c r="B84" s="9" t="s">
        <v>10</v>
      </c>
      <c r="C84" s="9" t="s">
        <v>16</v>
      </c>
      <c r="D84" s="9" t="str">
        <f>"温小宁"</f>
        <v>温小宁</v>
      </c>
      <c r="E84" s="9" t="str">
        <f t="shared" si="10"/>
        <v>女</v>
      </c>
      <c r="F84" s="9" t="str">
        <f>"63992024042211021360489"</f>
        <v>63992024042211021360489</v>
      </c>
      <c r="G84" s="9" t="str">
        <f t="shared" si="8"/>
        <v>0104</v>
      </c>
      <c r="H84" s="9" t="s">
        <v>12</v>
      </c>
      <c r="I84" s="8"/>
    </row>
    <row r="85" spans="1:9" s="2" customFormat="1" ht="30" customHeight="1">
      <c r="A85" s="8">
        <v>83</v>
      </c>
      <c r="B85" s="9" t="s">
        <v>10</v>
      </c>
      <c r="C85" s="9" t="s">
        <v>16</v>
      </c>
      <c r="D85" s="9" t="str">
        <f>"李开浩"</f>
        <v>李开浩</v>
      </c>
      <c r="E85" s="9" t="str">
        <f>"男"</f>
        <v>男</v>
      </c>
      <c r="F85" s="9" t="str">
        <f>"63992024042211081460536"</f>
        <v>63992024042211081460536</v>
      </c>
      <c r="G85" s="9" t="str">
        <f t="shared" si="8"/>
        <v>0104</v>
      </c>
      <c r="H85" s="9" t="s">
        <v>12</v>
      </c>
      <c r="I85" s="8"/>
    </row>
    <row r="86" spans="1:9" s="2" customFormat="1" ht="39.75" customHeight="1">
      <c r="A86" s="8">
        <v>84</v>
      </c>
      <c r="B86" s="9" t="s">
        <v>10</v>
      </c>
      <c r="C86" s="9" t="s">
        <v>16</v>
      </c>
      <c r="D86" s="9" t="str">
        <f>"赵晓彤"</f>
        <v>赵晓彤</v>
      </c>
      <c r="E86" s="9" t="str">
        <f aca="true" t="shared" si="11" ref="E86:E99">"女"</f>
        <v>女</v>
      </c>
      <c r="F86" s="9" t="str">
        <f>"63992024042211201660681"</f>
        <v>63992024042211201660681</v>
      </c>
      <c r="G86" s="9" t="str">
        <f t="shared" si="8"/>
        <v>0104</v>
      </c>
      <c r="H86" s="10" t="s">
        <v>15</v>
      </c>
      <c r="I86" s="8"/>
    </row>
    <row r="87" spans="1:9" s="2" customFormat="1" ht="30" customHeight="1">
      <c r="A87" s="8">
        <v>85</v>
      </c>
      <c r="B87" s="9" t="s">
        <v>10</v>
      </c>
      <c r="C87" s="9" t="s">
        <v>16</v>
      </c>
      <c r="D87" s="9" t="str">
        <f>"廖小娴"</f>
        <v>廖小娴</v>
      </c>
      <c r="E87" s="9" t="str">
        <f t="shared" si="11"/>
        <v>女</v>
      </c>
      <c r="F87" s="9" t="str">
        <f>"63992024042213300861649"</f>
        <v>63992024042213300861649</v>
      </c>
      <c r="G87" s="9" t="str">
        <f t="shared" si="8"/>
        <v>0104</v>
      </c>
      <c r="H87" s="9" t="s">
        <v>12</v>
      </c>
      <c r="I87" s="8"/>
    </row>
    <row r="88" spans="1:9" s="2" customFormat="1" ht="30" customHeight="1">
      <c r="A88" s="8">
        <v>86</v>
      </c>
      <c r="B88" s="9" t="s">
        <v>10</v>
      </c>
      <c r="C88" s="9" t="s">
        <v>16</v>
      </c>
      <c r="D88" s="9" t="str">
        <f>"辜柳霜"</f>
        <v>辜柳霜</v>
      </c>
      <c r="E88" s="9" t="str">
        <f t="shared" si="11"/>
        <v>女</v>
      </c>
      <c r="F88" s="9" t="str">
        <f>"63992024042215544365826"</f>
        <v>63992024042215544365826</v>
      </c>
      <c r="G88" s="9" t="str">
        <f t="shared" si="8"/>
        <v>0104</v>
      </c>
      <c r="H88" s="9" t="s">
        <v>12</v>
      </c>
      <c r="I88" s="8"/>
    </row>
    <row r="89" spans="1:9" s="2" customFormat="1" ht="30" customHeight="1">
      <c r="A89" s="8">
        <v>87</v>
      </c>
      <c r="B89" s="9" t="s">
        <v>10</v>
      </c>
      <c r="C89" s="9" t="s">
        <v>16</v>
      </c>
      <c r="D89" s="9" t="str">
        <f>"谢爱娜"</f>
        <v>谢爱娜</v>
      </c>
      <c r="E89" s="9" t="str">
        <f t="shared" si="11"/>
        <v>女</v>
      </c>
      <c r="F89" s="9" t="str">
        <f>"63992024042207241058135"</f>
        <v>63992024042207241058135</v>
      </c>
      <c r="G89" s="9" t="str">
        <f t="shared" si="8"/>
        <v>0104</v>
      </c>
      <c r="H89" s="9" t="s">
        <v>12</v>
      </c>
      <c r="I89" s="8"/>
    </row>
    <row r="90" spans="1:9" s="2" customFormat="1" ht="30" customHeight="1">
      <c r="A90" s="8">
        <v>88</v>
      </c>
      <c r="B90" s="9" t="s">
        <v>10</v>
      </c>
      <c r="C90" s="9" t="s">
        <v>16</v>
      </c>
      <c r="D90" s="9" t="str">
        <f>"符小英"</f>
        <v>符小英</v>
      </c>
      <c r="E90" s="9" t="str">
        <f t="shared" si="11"/>
        <v>女</v>
      </c>
      <c r="F90" s="9" t="str">
        <f>"63992024042219184967200"</f>
        <v>63992024042219184967200</v>
      </c>
      <c r="G90" s="9" t="str">
        <f t="shared" si="8"/>
        <v>0104</v>
      </c>
      <c r="H90" s="9" t="s">
        <v>12</v>
      </c>
      <c r="I90" s="8"/>
    </row>
    <row r="91" spans="1:9" s="2" customFormat="1" ht="30" customHeight="1">
      <c r="A91" s="8">
        <v>89</v>
      </c>
      <c r="B91" s="9" t="s">
        <v>10</v>
      </c>
      <c r="C91" s="9" t="s">
        <v>16</v>
      </c>
      <c r="D91" s="9" t="str">
        <f>"曾颖莹"</f>
        <v>曾颖莹</v>
      </c>
      <c r="E91" s="9" t="str">
        <f t="shared" si="11"/>
        <v>女</v>
      </c>
      <c r="F91" s="9" t="str">
        <f>"63992024042216164666002"</f>
        <v>63992024042216164666002</v>
      </c>
      <c r="G91" s="9" t="str">
        <f t="shared" si="8"/>
        <v>0104</v>
      </c>
      <c r="H91" s="9" t="s">
        <v>12</v>
      </c>
      <c r="I91" s="8"/>
    </row>
    <row r="92" spans="1:9" s="2" customFormat="1" ht="30" customHeight="1">
      <c r="A92" s="8">
        <v>90</v>
      </c>
      <c r="B92" s="9" t="s">
        <v>10</v>
      </c>
      <c r="C92" s="9" t="s">
        <v>16</v>
      </c>
      <c r="D92" s="9" t="str">
        <f>"黄杏丁"</f>
        <v>黄杏丁</v>
      </c>
      <c r="E92" s="9" t="str">
        <f t="shared" si="11"/>
        <v>女</v>
      </c>
      <c r="F92" s="9" t="str">
        <f>"63992024042306550968675"</f>
        <v>63992024042306550968675</v>
      </c>
      <c r="G92" s="9" t="str">
        <f t="shared" si="8"/>
        <v>0104</v>
      </c>
      <c r="H92" s="9" t="s">
        <v>12</v>
      </c>
      <c r="I92" s="8"/>
    </row>
    <row r="93" spans="1:9" s="2" customFormat="1" ht="39.75" customHeight="1">
      <c r="A93" s="8">
        <v>91</v>
      </c>
      <c r="B93" s="9" t="s">
        <v>10</v>
      </c>
      <c r="C93" s="9" t="s">
        <v>16</v>
      </c>
      <c r="D93" s="9" t="str">
        <f>"郑凝"</f>
        <v>郑凝</v>
      </c>
      <c r="E93" s="9" t="str">
        <f t="shared" si="11"/>
        <v>女</v>
      </c>
      <c r="F93" s="9" t="str">
        <f>"63992024042223015468438"</f>
        <v>63992024042223015468438</v>
      </c>
      <c r="G93" s="9" t="str">
        <f t="shared" si="8"/>
        <v>0104</v>
      </c>
      <c r="H93" s="10" t="s">
        <v>15</v>
      </c>
      <c r="I93" s="8"/>
    </row>
    <row r="94" spans="1:9" s="2" customFormat="1" ht="30" customHeight="1">
      <c r="A94" s="8">
        <v>92</v>
      </c>
      <c r="B94" s="9" t="s">
        <v>10</v>
      </c>
      <c r="C94" s="9" t="s">
        <v>16</v>
      </c>
      <c r="D94" s="9" t="str">
        <f>"唐琳玲"</f>
        <v>唐琳玲</v>
      </c>
      <c r="E94" s="9" t="str">
        <f t="shared" si="11"/>
        <v>女</v>
      </c>
      <c r="F94" s="9" t="str">
        <f>"63992024041923244252178"</f>
        <v>63992024041923244252178</v>
      </c>
      <c r="G94" s="9" t="str">
        <f t="shared" si="8"/>
        <v>0104</v>
      </c>
      <c r="H94" s="9" t="s">
        <v>12</v>
      </c>
      <c r="I94" s="8"/>
    </row>
    <row r="95" spans="1:9" s="2" customFormat="1" ht="30" customHeight="1">
      <c r="A95" s="8">
        <v>93</v>
      </c>
      <c r="B95" s="9" t="s">
        <v>10</v>
      </c>
      <c r="C95" s="9" t="s">
        <v>16</v>
      </c>
      <c r="D95" s="9" t="str">
        <f>"林英"</f>
        <v>林英</v>
      </c>
      <c r="E95" s="9" t="str">
        <f t="shared" si="11"/>
        <v>女</v>
      </c>
      <c r="F95" s="9" t="str">
        <f>"63992024042312321473260"</f>
        <v>63992024042312321473260</v>
      </c>
      <c r="G95" s="9" t="str">
        <f t="shared" si="8"/>
        <v>0104</v>
      </c>
      <c r="H95" s="9" t="s">
        <v>12</v>
      </c>
      <c r="I95" s="8"/>
    </row>
    <row r="96" spans="1:9" s="2" customFormat="1" ht="30" customHeight="1">
      <c r="A96" s="8">
        <v>94</v>
      </c>
      <c r="B96" s="9" t="s">
        <v>10</v>
      </c>
      <c r="C96" s="9" t="s">
        <v>16</v>
      </c>
      <c r="D96" s="9" t="str">
        <f>"吉才红"</f>
        <v>吉才红</v>
      </c>
      <c r="E96" s="9" t="str">
        <f t="shared" si="11"/>
        <v>女</v>
      </c>
      <c r="F96" s="9" t="str">
        <f>"63992024042312462673414"</f>
        <v>63992024042312462673414</v>
      </c>
      <c r="G96" s="9" t="str">
        <f t="shared" si="8"/>
        <v>0104</v>
      </c>
      <c r="H96" s="9" t="s">
        <v>12</v>
      </c>
      <c r="I96" s="8"/>
    </row>
    <row r="97" spans="1:9" s="2" customFormat="1" ht="30" customHeight="1">
      <c r="A97" s="8">
        <v>95</v>
      </c>
      <c r="B97" s="9" t="s">
        <v>10</v>
      </c>
      <c r="C97" s="9" t="s">
        <v>16</v>
      </c>
      <c r="D97" s="9" t="str">
        <f>"何资颖"</f>
        <v>何资颖</v>
      </c>
      <c r="E97" s="9" t="str">
        <f t="shared" si="11"/>
        <v>女</v>
      </c>
      <c r="F97" s="9" t="str">
        <f>"63992024042316193075591"</f>
        <v>63992024042316193075591</v>
      </c>
      <c r="G97" s="9" t="str">
        <f t="shared" si="8"/>
        <v>0104</v>
      </c>
      <c r="H97" s="9" t="s">
        <v>12</v>
      </c>
      <c r="I97" s="8"/>
    </row>
    <row r="98" spans="1:9" s="2" customFormat="1" ht="30" customHeight="1">
      <c r="A98" s="8">
        <v>96</v>
      </c>
      <c r="B98" s="9" t="s">
        <v>10</v>
      </c>
      <c r="C98" s="9" t="s">
        <v>16</v>
      </c>
      <c r="D98" s="9" t="str">
        <f>"何芬"</f>
        <v>何芬</v>
      </c>
      <c r="E98" s="9" t="str">
        <f t="shared" si="11"/>
        <v>女</v>
      </c>
      <c r="F98" s="9" t="str">
        <f>"63992024042316080775488"</f>
        <v>63992024042316080775488</v>
      </c>
      <c r="G98" s="9" t="str">
        <f t="shared" si="8"/>
        <v>0104</v>
      </c>
      <c r="H98" s="9" t="s">
        <v>12</v>
      </c>
      <c r="I98" s="8"/>
    </row>
    <row r="99" spans="1:9" s="2" customFormat="1" ht="30" customHeight="1">
      <c r="A99" s="8">
        <v>97</v>
      </c>
      <c r="B99" s="9" t="s">
        <v>10</v>
      </c>
      <c r="C99" s="9" t="s">
        <v>16</v>
      </c>
      <c r="D99" s="9" t="str">
        <f>"王清清"</f>
        <v>王清清</v>
      </c>
      <c r="E99" s="9" t="str">
        <f t="shared" si="11"/>
        <v>女</v>
      </c>
      <c r="F99" s="9" t="str">
        <f>"63992024042316380675804"</f>
        <v>63992024042316380675804</v>
      </c>
      <c r="G99" s="9" t="str">
        <f t="shared" si="8"/>
        <v>0104</v>
      </c>
      <c r="H99" s="9" t="s">
        <v>12</v>
      </c>
      <c r="I99" s="8"/>
    </row>
    <row r="100" spans="1:9" s="2" customFormat="1" ht="30" customHeight="1">
      <c r="A100" s="8">
        <v>98</v>
      </c>
      <c r="B100" s="9" t="s">
        <v>10</v>
      </c>
      <c r="C100" s="9" t="s">
        <v>16</v>
      </c>
      <c r="D100" s="9" t="str">
        <f>"陈名科"</f>
        <v>陈名科</v>
      </c>
      <c r="E100" s="9" t="str">
        <f>"男"</f>
        <v>男</v>
      </c>
      <c r="F100" s="9" t="str">
        <f>"63992024042317032777029"</f>
        <v>63992024042317032777029</v>
      </c>
      <c r="G100" s="9" t="str">
        <f t="shared" si="8"/>
        <v>0104</v>
      </c>
      <c r="H100" s="9" t="s">
        <v>12</v>
      </c>
      <c r="I100" s="8"/>
    </row>
    <row r="101" spans="1:9" s="2" customFormat="1" ht="30" customHeight="1">
      <c r="A101" s="8">
        <v>99</v>
      </c>
      <c r="B101" s="9" t="s">
        <v>10</v>
      </c>
      <c r="C101" s="9" t="s">
        <v>16</v>
      </c>
      <c r="D101" s="9" t="str">
        <f>"邢贞莹"</f>
        <v>邢贞莹</v>
      </c>
      <c r="E101" s="9" t="str">
        <f aca="true" t="shared" si="12" ref="E101:E115">"女"</f>
        <v>女</v>
      </c>
      <c r="F101" s="9" t="str">
        <f>"63992024042317045877049"</f>
        <v>63992024042317045877049</v>
      </c>
      <c r="G101" s="9" t="str">
        <f t="shared" si="8"/>
        <v>0104</v>
      </c>
      <c r="H101" s="9" t="s">
        <v>12</v>
      </c>
      <c r="I101" s="8"/>
    </row>
    <row r="102" spans="1:9" s="2" customFormat="1" ht="30" customHeight="1">
      <c r="A102" s="8">
        <v>100</v>
      </c>
      <c r="B102" s="9" t="s">
        <v>10</v>
      </c>
      <c r="C102" s="9" t="s">
        <v>16</v>
      </c>
      <c r="D102" s="9" t="str">
        <f>"莫启燕"</f>
        <v>莫启燕</v>
      </c>
      <c r="E102" s="9" t="str">
        <f t="shared" si="12"/>
        <v>女</v>
      </c>
      <c r="F102" s="9" t="str">
        <f>"63992024042320093378456"</f>
        <v>63992024042320093378456</v>
      </c>
      <c r="G102" s="9" t="str">
        <f t="shared" si="8"/>
        <v>0104</v>
      </c>
      <c r="H102" s="9" t="s">
        <v>12</v>
      </c>
      <c r="I102" s="8"/>
    </row>
    <row r="103" spans="1:9" s="2" customFormat="1" ht="30" customHeight="1">
      <c r="A103" s="8">
        <v>101</v>
      </c>
      <c r="B103" s="9" t="s">
        <v>10</v>
      </c>
      <c r="C103" s="9" t="s">
        <v>16</v>
      </c>
      <c r="D103" s="9" t="str">
        <f>"蒲英尾"</f>
        <v>蒲英尾</v>
      </c>
      <c r="E103" s="9" t="str">
        <f t="shared" si="12"/>
        <v>女</v>
      </c>
      <c r="F103" s="9" t="str">
        <f>"63992024042320594078870"</f>
        <v>63992024042320594078870</v>
      </c>
      <c r="G103" s="9" t="str">
        <f t="shared" si="8"/>
        <v>0104</v>
      </c>
      <c r="H103" s="9" t="s">
        <v>12</v>
      </c>
      <c r="I103" s="8"/>
    </row>
    <row r="104" spans="1:9" s="2" customFormat="1" ht="30" customHeight="1">
      <c r="A104" s="8">
        <v>102</v>
      </c>
      <c r="B104" s="9" t="s">
        <v>10</v>
      </c>
      <c r="C104" s="9" t="s">
        <v>16</v>
      </c>
      <c r="D104" s="9" t="str">
        <f>"钟静南"</f>
        <v>钟静南</v>
      </c>
      <c r="E104" s="9" t="str">
        <f t="shared" si="12"/>
        <v>女</v>
      </c>
      <c r="F104" s="9" t="str">
        <f>"63992024042319234478121"</f>
        <v>63992024042319234478121</v>
      </c>
      <c r="G104" s="9" t="str">
        <f t="shared" si="8"/>
        <v>0104</v>
      </c>
      <c r="H104" s="9" t="s">
        <v>12</v>
      </c>
      <c r="I104" s="8"/>
    </row>
    <row r="105" spans="1:9" s="2" customFormat="1" ht="30" customHeight="1">
      <c r="A105" s="8">
        <v>103</v>
      </c>
      <c r="B105" s="9" t="s">
        <v>10</v>
      </c>
      <c r="C105" s="9" t="s">
        <v>16</v>
      </c>
      <c r="D105" s="9" t="str">
        <f>"张斯沁"</f>
        <v>张斯沁</v>
      </c>
      <c r="E105" s="9" t="str">
        <f t="shared" si="12"/>
        <v>女</v>
      </c>
      <c r="F105" s="9" t="str">
        <f>"63992024042410442986559"</f>
        <v>63992024042410442986559</v>
      </c>
      <c r="G105" s="9" t="str">
        <f t="shared" si="8"/>
        <v>0104</v>
      </c>
      <c r="H105" s="9" t="s">
        <v>12</v>
      </c>
      <c r="I105" s="8"/>
    </row>
    <row r="106" spans="1:9" s="2" customFormat="1" ht="30" customHeight="1">
      <c r="A106" s="8">
        <v>104</v>
      </c>
      <c r="B106" s="9" t="s">
        <v>10</v>
      </c>
      <c r="C106" s="9" t="s">
        <v>16</v>
      </c>
      <c r="D106" s="9" t="str">
        <f>"林芳江"</f>
        <v>林芳江</v>
      </c>
      <c r="E106" s="9" t="str">
        <f t="shared" si="12"/>
        <v>女</v>
      </c>
      <c r="F106" s="9" t="str">
        <f>"63992024042414590589346"</f>
        <v>63992024042414590589346</v>
      </c>
      <c r="G106" s="9" t="str">
        <f t="shared" si="8"/>
        <v>0104</v>
      </c>
      <c r="H106" s="9" t="s">
        <v>12</v>
      </c>
      <c r="I106" s="8"/>
    </row>
    <row r="107" spans="1:9" s="2" customFormat="1" ht="30" customHeight="1">
      <c r="A107" s="8">
        <v>105</v>
      </c>
      <c r="B107" s="9" t="s">
        <v>10</v>
      </c>
      <c r="C107" s="9" t="s">
        <v>16</v>
      </c>
      <c r="D107" s="9" t="str">
        <f>"苏真"</f>
        <v>苏真</v>
      </c>
      <c r="E107" s="9" t="str">
        <f t="shared" si="12"/>
        <v>女</v>
      </c>
      <c r="F107" s="9" t="str">
        <f>"63992024042416462690947"</f>
        <v>63992024042416462690947</v>
      </c>
      <c r="G107" s="9" t="str">
        <f t="shared" si="8"/>
        <v>0104</v>
      </c>
      <c r="H107" s="9" t="s">
        <v>12</v>
      </c>
      <c r="I107" s="8"/>
    </row>
    <row r="108" spans="1:9" s="2" customFormat="1" ht="30" customHeight="1">
      <c r="A108" s="8">
        <v>106</v>
      </c>
      <c r="B108" s="9" t="s">
        <v>10</v>
      </c>
      <c r="C108" s="9" t="s">
        <v>16</v>
      </c>
      <c r="D108" s="9" t="str">
        <f>"梅海英"</f>
        <v>梅海英</v>
      </c>
      <c r="E108" s="9" t="str">
        <f t="shared" si="12"/>
        <v>女</v>
      </c>
      <c r="F108" s="9" t="str">
        <f>"63992024042420342792478"</f>
        <v>63992024042420342792478</v>
      </c>
      <c r="G108" s="9" t="str">
        <f t="shared" si="8"/>
        <v>0104</v>
      </c>
      <c r="H108" s="9" t="s">
        <v>12</v>
      </c>
      <c r="I108" s="8"/>
    </row>
    <row r="109" spans="1:9" s="2" customFormat="1" ht="30" customHeight="1">
      <c r="A109" s="8">
        <v>107</v>
      </c>
      <c r="B109" s="9" t="s">
        <v>10</v>
      </c>
      <c r="C109" s="9" t="s">
        <v>16</v>
      </c>
      <c r="D109" s="9" t="str">
        <f>"李香妮"</f>
        <v>李香妮</v>
      </c>
      <c r="E109" s="9" t="str">
        <f t="shared" si="12"/>
        <v>女</v>
      </c>
      <c r="F109" s="9" t="str">
        <f>"63992024042309530970185"</f>
        <v>63992024042309530970185</v>
      </c>
      <c r="G109" s="9" t="str">
        <f t="shared" si="8"/>
        <v>0104</v>
      </c>
      <c r="H109" s="9" t="s">
        <v>12</v>
      </c>
      <c r="I109" s="8"/>
    </row>
    <row r="110" spans="1:9" s="2" customFormat="1" ht="30" customHeight="1">
      <c r="A110" s="8">
        <v>108</v>
      </c>
      <c r="B110" s="9" t="s">
        <v>10</v>
      </c>
      <c r="C110" s="9" t="s">
        <v>16</v>
      </c>
      <c r="D110" s="9" t="str">
        <f>"林冰"</f>
        <v>林冰</v>
      </c>
      <c r="E110" s="9" t="str">
        <f t="shared" si="12"/>
        <v>女</v>
      </c>
      <c r="F110" s="9" t="str">
        <f>"63992024042422340293092"</f>
        <v>63992024042422340293092</v>
      </c>
      <c r="G110" s="9" t="str">
        <f t="shared" si="8"/>
        <v>0104</v>
      </c>
      <c r="H110" s="9" t="s">
        <v>12</v>
      </c>
      <c r="I110" s="8"/>
    </row>
    <row r="111" spans="1:9" s="2" customFormat="1" ht="30" customHeight="1">
      <c r="A111" s="8">
        <v>109</v>
      </c>
      <c r="B111" s="9" t="s">
        <v>10</v>
      </c>
      <c r="C111" s="9" t="s">
        <v>16</v>
      </c>
      <c r="D111" s="9" t="str">
        <f>"吴姨美"</f>
        <v>吴姨美</v>
      </c>
      <c r="E111" s="9" t="str">
        <f t="shared" si="12"/>
        <v>女</v>
      </c>
      <c r="F111" s="9" t="str">
        <f>"63992024042509130493949"</f>
        <v>63992024042509130493949</v>
      </c>
      <c r="G111" s="9" t="str">
        <f t="shared" si="8"/>
        <v>0104</v>
      </c>
      <c r="H111" s="9" t="s">
        <v>12</v>
      </c>
      <c r="I111" s="8"/>
    </row>
    <row r="112" spans="1:9" s="2" customFormat="1" ht="30" customHeight="1">
      <c r="A112" s="8">
        <v>110</v>
      </c>
      <c r="B112" s="9" t="s">
        <v>10</v>
      </c>
      <c r="C112" s="9" t="s">
        <v>16</v>
      </c>
      <c r="D112" s="9" t="str">
        <f>"李珏桦"</f>
        <v>李珏桦</v>
      </c>
      <c r="E112" s="9" t="str">
        <f t="shared" si="12"/>
        <v>女</v>
      </c>
      <c r="F112" s="9" t="str">
        <f>"63992024042510445794576"</f>
        <v>63992024042510445794576</v>
      </c>
      <c r="G112" s="9" t="str">
        <f t="shared" si="8"/>
        <v>0104</v>
      </c>
      <c r="H112" s="9" t="s">
        <v>12</v>
      </c>
      <c r="I112" s="8"/>
    </row>
    <row r="113" spans="1:9" s="2" customFormat="1" ht="30" customHeight="1">
      <c r="A113" s="8">
        <v>111</v>
      </c>
      <c r="B113" s="9" t="s">
        <v>10</v>
      </c>
      <c r="C113" s="9" t="s">
        <v>16</v>
      </c>
      <c r="D113" s="9" t="str">
        <f>"吴蔓"</f>
        <v>吴蔓</v>
      </c>
      <c r="E113" s="9" t="str">
        <f t="shared" si="12"/>
        <v>女</v>
      </c>
      <c r="F113" s="9" t="str">
        <f>"63992024042517591097426"</f>
        <v>63992024042517591097426</v>
      </c>
      <c r="G113" s="9" t="str">
        <f t="shared" si="8"/>
        <v>0104</v>
      </c>
      <c r="H113" s="9" t="s">
        <v>12</v>
      </c>
      <c r="I113" s="8"/>
    </row>
    <row r="114" spans="1:9" s="2" customFormat="1" ht="30" customHeight="1">
      <c r="A114" s="8">
        <v>112</v>
      </c>
      <c r="B114" s="9" t="s">
        <v>10</v>
      </c>
      <c r="C114" s="9" t="s">
        <v>16</v>
      </c>
      <c r="D114" s="9" t="str">
        <f>"薛婆保"</f>
        <v>薛婆保</v>
      </c>
      <c r="E114" s="9" t="str">
        <f t="shared" si="12"/>
        <v>女</v>
      </c>
      <c r="F114" s="9" t="str">
        <f>"63992024042518330597497"</f>
        <v>63992024042518330597497</v>
      </c>
      <c r="G114" s="9" t="str">
        <f t="shared" si="8"/>
        <v>0104</v>
      </c>
      <c r="H114" s="9" t="s">
        <v>12</v>
      </c>
      <c r="I114" s="8"/>
    </row>
    <row r="115" spans="1:9" s="2" customFormat="1" ht="30" customHeight="1">
      <c r="A115" s="8">
        <v>113</v>
      </c>
      <c r="B115" s="9" t="s">
        <v>10</v>
      </c>
      <c r="C115" s="9" t="s">
        <v>16</v>
      </c>
      <c r="D115" s="9" t="str">
        <f>"符含萍"</f>
        <v>符含萍</v>
      </c>
      <c r="E115" s="9" t="str">
        <f t="shared" si="12"/>
        <v>女</v>
      </c>
      <c r="F115" s="9" t="str">
        <f>"63992024042521191897942"</f>
        <v>63992024042521191897942</v>
      </c>
      <c r="G115" s="9" t="str">
        <f t="shared" si="8"/>
        <v>0104</v>
      </c>
      <c r="H115" s="9" t="s">
        <v>12</v>
      </c>
      <c r="I115" s="8"/>
    </row>
    <row r="116" spans="1:9" s="2" customFormat="1" ht="30" customHeight="1">
      <c r="A116" s="8">
        <v>114</v>
      </c>
      <c r="B116" s="9" t="s">
        <v>10</v>
      </c>
      <c r="C116" s="9" t="s">
        <v>16</v>
      </c>
      <c r="D116" s="9" t="str">
        <f>"林成梁"</f>
        <v>林成梁</v>
      </c>
      <c r="E116" s="9" t="str">
        <f>"男"</f>
        <v>男</v>
      </c>
      <c r="F116" s="9" t="str">
        <f>"63992024042602581798363"</f>
        <v>63992024042602581798363</v>
      </c>
      <c r="G116" s="9" t="str">
        <f t="shared" si="8"/>
        <v>0104</v>
      </c>
      <c r="H116" s="9" t="s">
        <v>12</v>
      </c>
      <c r="I116" s="8"/>
    </row>
    <row r="117" spans="1:9" s="2" customFormat="1" ht="30" customHeight="1">
      <c r="A117" s="8">
        <v>115</v>
      </c>
      <c r="B117" s="9" t="s">
        <v>10</v>
      </c>
      <c r="C117" s="9" t="s">
        <v>16</v>
      </c>
      <c r="D117" s="9" t="str">
        <f>"苏庆玲"</f>
        <v>苏庆玲</v>
      </c>
      <c r="E117" s="9" t="str">
        <f aca="true" t="shared" si="13" ref="E117:E123">"女"</f>
        <v>女</v>
      </c>
      <c r="F117" s="9" t="str">
        <f>"639920240426082505109000"</f>
        <v>639920240426082505109000</v>
      </c>
      <c r="G117" s="9" t="str">
        <f t="shared" si="8"/>
        <v>0104</v>
      </c>
      <c r="H117" s="9" t="s">
        <v>12</v>
      </c>
      <c r="I117" s="8"/>
    </row>
    <row r="118" spans="1:9" s="2" customFormat="1" ht="30" customHeight="1">
      <c r="A118" s="8">
        <v>116</v>
      </c>
      <c r="B118" s="9" t="s">
        <v>10</v>
      </c>
      <c r="C118" s="9" t="s">
        <v>16</v>
      </c>
      <c r="D118" s="9" t="str">
        <f>"邹燕"</f>
        <v>邹燕</v>
      </c>
      <c r="E118" s="9" t="str">
        <f t="shared" si="13"/>
        <v>女</v>
      </c>
      <c r="F118" s="9" t="str">
        <f>"639920240426115803110013"</f>
        <v>639920240426115803110013</v>
      </c>
      <c r="G118" s="9" t="str">
        <f t="shared" si="8"/>
        <v>0104</v>
      </c>
      <c r="H118" s="9" t="s">
        <v>12</v>
      </c>
      <c r="I118" s="8"/>
    </row>
    <row r="119" spans="1:9" s="2" customFormat="1" ht="30" customHeight="1">
      <c r="A119" s="8">
        <v>117</v>
      </c>
      <c r="B119" s="9" t="s">
        <v>10</v>
      </c>
      <c r="C119" s="9" t="s">
        <v>16</v>
      </c>
      <c r="D119" s="9" t="str">
        <f>"苏丽晓"</f>
        <v>苏丽晓</v>
      </c>
      <c r="E119" s="9" t="str">
        <f t="shared" si="13"/>
        <v>女</v>
      </c>
      <c r="F119" s="9" t="str">
        <f>"639920240426142403110452"</f>
        <v>639920240426142403110452</v>
      </c>
      <c r="G119" s="9" t="str">
        <f t="shared" si="8"/>
        <v>0104</v>
      </c>
      <c r="H119" s="9" t="s">
        <v>12</v>
      </c>
      <c r="I119" s="8"/>
    </row>
    <row r="120" spans="1:9" s="2" customFormat="1" ht="30" customHeight="1">
      <c r="A120" s="8">
        <v>118</v>
      </c>
      <c r="B120" s="9" t="s">
        <v>10</v>
      </c>
      <c r="C120" s="9" t="s">
        <v>16</v>
      </c>
      <c r="D120" s="9" t="str">
        <f>"吴原榕"</f>
        <v>吴原榕</v>
      </c>
      <c r="E120" s="9" t="str">
        <f t="shared" si="13"/>
        <v>女</v>
      </c>
      <c r="F120" s="9" t="str">
        <f>"639920240426161752110940"</f>
        <v>639920240426161752110940</v>
      </c>
      <c r="G120" s="9" t="str">
        <f t="shared" si="8"/>
        <v>0104</v>
      </c>
      <c r="H120" s="9" t="s">
        <v>12</v>
      </c>
      <c r="I120" s="8"/>
    </row>
    <row r="121" spans="1:9" s="2" customFormat="1" ht="30" customHeight="1">
      <c r="A121" s="8">
        <v>119</v>
      </c>
      <c r="B121" s="9" t="s">
        <v>10</v>
      </c>
      <c r="C121" s="9" t="s">
        <v>16</v>
      </c>
      <c r="D121" s="9" t="str">
        <f>"张民鲜"</f>
        <v>张民鲜</v>
      </c>
      <c r="E121" s="9" t="str">
        <f t="shared" si="13"/>
        <v>女</v>
      </c>
      <c r="F121" s="9" t="str">
        <f>"639920240426175904111183"</f>
        <v>639920240426175904111183</v>
      </c>
      <c r="G121" s="9" t="str">
        <f t="shared" si="8"/>
        <v>0104</v>
      </c>
      <c r="H121" s="9" t="s">
        <v>12</v>
      </c>
      <c r="I121" s="8"/>
    </row>
    <row r="122" spans="1:9" s="2" customFormat="1" ht="30" customHeight="1">
      <c r="A122" s="8">
        <v>120</v>
      </c>
      <c r="B122" s="9" t="s">
        <v>10</v>
      </c>
      <c r="C122" s="9" t="s">
        <v>16</v>
      </c>
      <c r="D122" s="9" t="str">
        <f>"程小燕"</f>
        <v>程小燕</v>
      </c>
      <c r="E122" s="9" t="str">
        <f t="shared" si="13"/>
        <v>女</v>
      </c>
      <c r="F122" s="9" t="str">
        <f>"639920240426183940111256"</f>
        <v>639920240426183940111256</v>
      </c>
      <c r="G122" s="9" t="str">
        <f aca="true" t="shared" si="14" ref="G122:G145">"0104"</f>
        <v>0104</v>
      </c>
      <c r="H122" s="9" t="s">
        <v>12</v>
      </c>
      <c r="I122" s="8"/>
    </row>
    <row r="123" spans="1:9" s="2" customFormat="1" ht="30" customHeight="1">
      <c r="A123" s="8">
        <v>121</v>
      </c>
      <c r="B123" s="9" t="s">
        <v>10</v>
      </c>
      <c r="C123" s="9" t="s">
        <v>16</v>
      </c>
      <c r="D123" s="9" t="str">
        <f>"王澜洁"</f>
        <v>王澜洁</v>
      </c>
      <c r="E123" s="9" t="str">
        <f t="shared" si="13"/>
        <v>女</v>
      </c>
      <c r="F123" s="9" t="str">
        <f>"639920240426192102111329"</f>
        <v>639920240426192102111329</v>
      </c>
      <c r="G123" s="9" t="str">
        <f t="shared" si="14"/>
        <v>0104</v>
      </c>
      <c r="H123" s="9" t="s">
        <v>12</v>
      </c>
      <c r="I123" s="8"/>
    </row>
    <row r="124" spans="1:9" s="2" customFormat="1" ht="30" customHeight="1">
      <c r="A124" s="8">
        <v>122</v>
      </c>
      <c r="B124" s="9" t="s">
        <v>10</v>
      </c>
      <c r="C124" s="9" t="s">
        <v>16</v>
      </c>
      <c r="D124" s="9" t="str">
        <f>"何和堂"</f>
        <v>何和堂</v>
      </c>
      <c r="E124" s="9" t="str">
        <f aca="true" t="shared" si="15" ref="E124:E127">"男"</f>
        <v>男</v>
      </c>
      <c r="F124" s="9" t="str">
        <f>"639920240426204316111461"</f>
        <v>639920240426204316111461</v>
      </c>
      <c r="G124" s="9" t="str">
        <f t="shared" si="14"/>
        <v>0104</v>
      </c>
      <c r="H124" s="9" t="s">
        <v>12</v>
      </c>
      <c r="I124" s="8"/>
    </row>
    <row r="125" spans="1:9" s="2" customFormat="1" ht="30" customHeight="1">
      <c r="A125" s="8">
        <v>123</v>
      </c>
      <c r="B125" s="9" t="s">
        <v>10</v>
      </c>
      <c r="C125" s="9" t="s">
        <v>16</v>
      </c>
      <c r="D125" s="9" t="str">
        <f>"张熙健"</f>
        <v>张熙健</v>
      </c>
      <c r="E125" s="9" t="str">
        <f t="shared" si="15"/>
        <v>男</v>
      </c>
      <c r="F125" s="9" t="str">
        <f>"639920240426205945111492"</f>
        <v>639920240426205945111492</v>
      </c>
      <c r="G125" s="9" t="str">
        <f t="shared" si="14"/>
        <v>0104</v>
      </c>
      <c r="H125" s="9" t="s">
        <v>12</v>
      </c>
      <c r="I125" s="8"/>
    </row>
    <row r="126" spans="1:9" s="2" customFormat="1" ht="30" customHeight="1">
      <c r="A126" s="8">
        <v>124</v>
      </c>
      <c r="B126" s="9" t="s">
        <v>10</v>
      </c>
      <c r="C126" s="9" t="s">
        <v>16</v>
      </c>
      <c r="D126" s="9" t="str">
        <f>"何秋兰"</f>
        <v>何秋兰</v>
      </c>
      <c r="E126" s="9" t="str">
        <f aca="true" t="shared" si="16" ref="E126:E138">"女"</f>
        <v>女</v>
      </c>
      <c r="F126" s="9" t="str">
        <f>"639920240426230512111692"</f>
        <v>639920240426230512111692</v>
      </c>
      <c r="G126" s="9" t="str">
        <f t="shared" si="14"/>
        <v>0104</v>
      </c>
      <c r="H126" s="9" t="s">
        <v>12</v>
      </c>
      <c r="I126" s="8"/>
    </row>
    <row r="127" spans="1:9" s="2" customFormat="1" ht="30" customHeight="1">
      <c r="A127" s="8">
        <v>125</v>
      </c>
      <c r="B127" s="9" t="s">
        <v>10</v>
      </c>
      <c r="C127" s="9" t="s">
        <v>16</v>
      </c>
      <c r="D127" s="9" t="str">
        <f>"何民佐"</f>
        <v>何民佐</v>
      </c>
      <c r="E127" s="9" t="str">
        <f t="shared" si="15"/>
        <v>男</v>
      </c>
      <c r="F127" s="9" t="str">
        <f>"639920240427013328111780"</f>
        <v>639920240427013328111780</v>
      </c>
      <c r="G127" s="9" t="str">
        <f t="shared" si="14"/>
        <v>0104</v>
      </c>
      <c r="H127" s="9" t="s">
        <v>12</v>
      </c>
      <c r="I127" s="8"/>
    </row>
    <row r="128" spans="1:9" s="2" customFormat="1" ht="30" customHeight="1">
      <c r="A128" s="8">
        <v>126</v>
      </c>
      <c r="B128" s="9" t="s">
        <v>10</v>
      </c>
      <c r="C128" s="9" t="s">
        <v>16</v>
      </c>
      <c r="D128" s="9" t="str">
        <f>"吴丽玲"</f>
        <v>吴丽玲</v>
      </c>
      <c r="E128" s="9" t="str">
        <f t="shared" si="16"/>
        <v>女</v>
      </c>
      <c r="F128" s="9" t="str">
        <f>"639920240427100649112137"</f>
        <v>639920240427100649112137</v>
      </c>
      <c r="G128" s="9" t="str">
        <f t="shared" si="14"/>
        <v>0104</v>
      </c>
      <c r="H128" s="9" t="s">
        <v>12</v>
      </c>
      <c r="I128" s="8"/>
    </row>
    <row r="129" spans="1:9" s="2" customFormat="1" ht="30" customHeight="1">
      <c r="A129" s="8">
        <v>127</v>
      </c>
      <c r="B129" s="9" t="s">
        <v>10</v>
      </c>
      <c r="C129" s="9" t="s">
        <v>16</v>
      </c>
      <c r="D129" s="9" t="str">
        <f>"黎基敏"</f>
        <v>黎基敏</v>
      </c>
      <c r="E129" s="9" t="str">
        <f t="shared" si="16"/>
        <v>女</v>
      </c>
      <c r="F129" s="9" t="str">
        <f>"639920240427104801112280"</f>
        <v>639920240427104801112280</v>
      </c>
      <c r="G129" s="9" t="str">
        <f t="shared" si="14"/>
        <v>0104</v>
      </c>
      <c r="H129" s="9" t="s">
        <v>12</v>
      </c>
      <c r="I129" s="8"/>
    </row>
    <row r="130" spans="1:9" s="2" customFormat="1" ht="30" customHeight="1">
      <c r="A130" s="8">
        <v>128</v>
      </c>
      <c r="B130" s="9" t="s">
        <v>10</v>
      </c>
      <c r="C130" s="9" t="s">
        <v>16</v>
      </c>
      <c r="D130" s="9" t="str">
        <f>"邱昌倩"</f>
        <v>邱昌倩</v>
      </c>
      <c r="E130" s="9" t="str">
        <f t="shared" si="16"/>
        <v>女</v>
      </c>
      <c r="F130" s="9" t="str">
        <f>"639920240427115402112477"</f>
        <v>639920240427115402112477</v>
      </c>
      <c r="G130" s="9" t="str">
        <f t="shared" si="14"/>
        <v>0104</v>
      </c>
      <c r="H130" s="9" t="s">
        <v>12</v>
      </c>
      <c r="I130" s="8"/>
    </row>
    <row r="131" spans="1:9" s="2" customFormat="1" ht="30" customHeight="1">
      <c r="A131" s="8">
        <v>129</v>
      </c>
      <c r="B131" s="9" t="s">
        <v>10</v>
      </c>
      <c r="C131" s="9" t="s">
        <v>16</v>
      </c>
      <c r="D131" s="9" t="str">
        <f>"许彩熊"</f>
        <v>许彩熊</v>
      </c>
      <c r="E131" s="9" t="str">
        <f t="shared" si="16"/>
        <v>女</v>
      </c>
      <c r="F131" s="9" t="str">
        <f>"639920240427125941112635"</f>
        <v>639920240427125941112635</v>
      </c>
      <c r="G131" s="9" t="str">
        <f t="shared" si="14"/>
        <v>0104</v>
      </c>
      <c r="H131" s="9" t="s">
        <v>12</v>
      </c>
      <c r="I131" s="8"/>
    </row>
    <row r="132" spans="1:9" s="2" customFormat="1" ht="39.75" customHeight="1">
      <c r="A132" s="8">
        <v>130</v>
      </c>
      <c r="B132" s="9" t="s">
        <v>10</v>
      </c>
      <c r="C132" s="9" t="s">
        <v>16</v>
      </c>
      <c r="D132" s="9" t="str">
        <f>"宋苗苗"</f>
        <v>宋苗苗</v>
      </c>
      <c r="E132" s="9" t="str">
        <f t="shared" si="16"/>
        <v>女</v>
      </c>
      <c r="F132" s="9" t="str">
        <f>"639920240427153952112982"</f>
        <v>639920240427153952112982</v>
      </c>
      <c r="G132" s="9" t="str">
        <f t="shared" si="14"/>
        <v>0104</v>
      </c>
      <c r="H132" s="10" t="s">
        <v>15</v>
      </c>
      <c r="I132" s="8"/>
    </row>
    <row r="133" spans="1:9" s="2" customFormat="1" ht="39.75" customHeight="1">
      <c r="A133" s="8">
        <v>131</v>
      </c>
      <c r="B133" s="9" t="s">
        <v>10</v>
      </c>
      <c r="C133" s="9" t="s">
        <v>16</v>
      </c>
      <c r="D133" s="9" t="str">
        <f>"王佳莹"</f>
        <v>王佳莹</v>
      </c>
      <c r="E133" s="9" t="str">
        <f t="shared" si="16"/>
        <v>女</v>
      </c>
      <c r="F133" s="9" t="str">
        <f>"639920240427153817112978"</f>
        <v>639920240427153817112978</v>
      </c>
      <c r="G133" s="9" t="str">
        <f t="shared" si="14"/>
        <v>0104</v>
      </c>
      <c r="H133" s="10" t="s">
        <v>15</v>
      </c>
      <c r="I133" s="8"/>
    </row>
    <row r="134" spans="1:9" s="2" customFormat="1" ht="30" customHeight="1">
      <c r="A134" s="8">
        <v>132</v>
      </c>
      <c r="B134" s="9" t="s">
        <v>10</v>
      </c>
      <c r="C134" s="9" t="s">
        <v>16</v>
      </c>
      <c r="D134" s="9" t="str">
        <f>"王柏仙"</f>
        <v>王柏仙</v>
      </c>
      <c r="E134" s="9" t="str">
        <f t="shared" si="16"/>
        <v>女</v>
      </c>
      <c r="F134" s="9" t="str">
        <f>"639920240426161609110932"</f>
        <v>639920240426161609110932</v>
      </c>
      <c r="G134" s="9" t="str">
        <f t="shared" si="14"/>
        <v>0104</v>
      </c>
      <c r="H134" s="9" t="s">
        <v>12</v>
      </c>
      <c r="I134" s="8"/>
    </row>
    <row r="135" spans="1:9" s="2" customFormat="1" ht="30" customHeight="1">
      <c r="A135" s="8">
        <v>133</v>
      </c>
      <c r="B135" s="9" t="s">
        <v>10</v>
      </c>
      <c r="C135" s="9" t="s">
        <v>16</v>
      </c>
      <c r="D135" s="9" t="str">
        <f>"陈惠丽"</f>
        <v>陈惠丽</v>
      </c>
      <c r="E135" s="9" t="str">
        <f t="shared" si="16"/>
        <v>女</v>
      </c>
      <c r="F135" s="9" t="str">
        <f>"639920240428014256114076"</f>
        <v>639920240428014256114076</v>
      </c>
      <c r="G135" s="9" t="str">
        <f t="shared" si="14"/>
        <v>0104</v>
      </c>
      <c r="H135" s="9" t="s">
        <v>12</v>
      </c>
      <c r="I135" s="8"/>
    </row>
    <row r="136" spans="1:9" s="2" customFormat="1" ht="30" customHeight="1">
      <c r="A136" s="8">
        <v>134</v>
      </c>
      <c r="B136" s="9" t="s">
        <v>10</v>
      </c>
      <c r="C136" s="9" t="s">
        <v>16</v>
      </c>
      <c r="D136" s="9" t="str">
        <f>"高菁"</f>
        <v>高菁</v>
      </c>
      <c r="E136" s="9" t="str">
        <f t="shared" si="16"/>
        <v>女</v>
      </c>
      <c r="F136" s="9" t="str">
        <f>"639920240428104606115022"</f>
        <v>639920240428104606115022</v>
      </c>
      <c r="G136" s="9" t="str">
        <f t="shared" si="14"/>
        <v>0104</v>
      </c>
      <c r="H136" s="9" t="s">
        <v>12</v>
      </c>
      <c r="I136" s="8"/>
    </row>
    <row r="137" spans="1:9" s="2" customFormat="1" ht="30" customHeight="1">
      <c r="A137" s="8">
        <v>135</v>
      </c>
      <c r="B137" s="9" t="s">
        <v>10</v>
      </c>
      <c r="C137" s="9" t="s">
        <v>16</v>
      </c>
      <c r="D137" s="9" t="str">
        <f>"高雅熙"</f>
        <v>高雅熙</v>
      </c>
      <c r="E137" s="9" t="str">
        <f t="shared" si="16"/>
        <v>女</v>
      </c>
      <c r="F137" s="9" t="str">
        <f>"639920240428095432114690"</f>
        <v>639920240428095432114690</v>
      </c>
      <c r="G137" s="9" t="str">
        <f t="shared" si="14"/>
        <v>0104</v>
      </c>
      <c r="H137" s="9" t="s">
        <v>12</v>
      </c>
      <c r="I137" s="8"/>
    </row>
    <row r="138" spans="1:9" s="2" customFormat="1" ht="30" customHeight="1">
      <c r="A138" s="8">
        <v>136</v>
      </c>
      <c r="B138" s="9" t="s">
        <v>10</v>
      </c>
      <c r="C138" s="9" t="s">
        <v>16</v>
      </c>
      <c r="D138" s="9" t="str">
        <f>"林冰芳"</f>
        <v>林冰芳</v>
      </c>
      <c r="E138" s="9" t="str">
        <f t="shared" si="16"/>
        <v>女</v>
      </c>
      <c r="F138" s="9" t="str">
        <f>"639920240428184528116688"</f>
        <v>639920240428184528116688</v>
      </c>
      <c r="G138" s="9" t="str">
        <f t="shared" si="14"/>
        <v>0104</v>
      </c>
      <c r="H138" s="9" t="s">
        <v>12</v>
      </c>
      <c r="I138" s="8"/>
    </row>
    <row r="139" spans="1:9" s="2" customFormat="1" ht="30" customHeight="1">
      <c r="A139" s="8">
        <v>137</v>
      </c>
      <c r="B139" s="9" t="s">
        <v>10</v>
      </c>
      <c r="C139" s="9" t="s">
        <v>16</v>
      </c>
      <c r="D139" s="9" t="str">
        <f>"王平勇"</f>
        <v>王平勇</v>
      </c>
      <c r="E139" s="9" t="str">
        <f>"男"</f>
        <v>男</v>
      </c>
      <c r="F139" s="9" t="str">
        <f>"639920240426191703111320"</f>
        <v>639920240426191703111320</v>
      </c>
      <c r="G139" s="9" t="str">
        <f t="shared" si="14"/>
        <v>0104</v>
      </c>
      <c r="H139" s="9" t="s">
        <v>12</v>
      </c>
      <c r="I139" s="8"/>
    </row>
    <row r="140" spans="1:9" s="2" customFormat="1" ht="30" customHeight="1">
      <c r="A140" s="8">
        <v>138</v>
      </c>
      <c r="B140" s="9" t="s">
        <v>10</v>
      </c>
      <c r="C140" s="9" t="s">
        <v>16</v>
      </c>
      <c r="D140" s="9" t="str">
        <f>"林石妹"</f>
        <v>林石妹</v>
      </c>
      <c r="E140" s="9" t="str">
        <f aca="true" t="shared" si="17" ref="E140:E164">"女"</f>
        <v>女</v>
      </c>
      <c r="F140" s="9" t="str">
        <f>"639920240429002812117348"</f>
        <v>639920240429002812117348</v>
      </c>
      <c r="G140" s="9" t="str">
        <f t="shared" si="14"/>
        <v>0104</v>
      </c>
      <c r="H140" s="9" t="s">
        <v>12</v>
      </c>
      <c r="I140" s="8"/>
    </row>
    <row r="141" spans="1:9" s="2" customFormat="1" ht="30" customHeight="1">
      <c r="A141" s="8">
        <v>139</v>
      </c>
      <c r="B141" s="9" t="s">
        <v>10</v>
      </c>
      <c r="C141" s="9" t="s">
        <v>16</v>
      </c>
      <c r="D141" s="9" t="str">
        <f>"周晶晶"</f>
        <v>周晶晶</v>
      </c>
      <c r="E141" s="9" t="str">
        <f t="shared" si="17"/>
        <v>女</v>
      </c>
      <c r="F141" s="9" t="str">
        <f>"639920240428183318116669"</f>
        <v>639920240428183318116669</v>
      </c>
      <c r="G141" s="9" t="str">
        <f t="shared" si="14"/>
        <v>0104</v>
      </c>
      <c r="H141" s="9" t="s">
        <v>12</v>
      </c>
      <c r="I141" s="8"/>
    </row>
    <row r="142" spans="1:9" s="2" customFormat="1" ht="30" customHeight="1">
      <c r="A142" s="8">
        <v>140</v>
      </c>
      <c r="B142" s="9" t="s">
        <v>10</v>
      </c>
      <c r="C142" s="9" t="s">
        <v>16</v>
      </c>
      <c r="D142" s="9" t="str">
        <f>"黄佳谊"</f>
        <v>黄佳谊</v>
      </c>
      <c r="E142" s="9" t="str">
        <f t="shared" si="17"/>
        <v>女</v>
      </c>
      <c r="F142" s="9" t="str">
        <f>"639920240429103923118152"</f>
        <v>639920240429103923118152</v>
      </c>
      <c r="G142" s="9" t="str">
        <f t="shared" si="14"/>
        <v>0104</v>
      </c>
      <c r="H142" s="9" t="s">
        <v>12</v>
      </c>
      <c r="I142" s="8"/>
    </row>
    <row r="143" spans="1:9" s="2" customFormat="1" ht="30" customHeight="1">
      <c r="A143" s="8">
        <v>141</v>
      </c>
      <c r="B143" s="9" t="s">
        <v>10</v>
      </c>
      <c r="C143" s="9" t="s">
        <v>16</v>
      </c>
      <c r="D143" s="9" t="str">
        <f>"吴莹莹"</f>
        <v>吴莹莹</v>
      </c>
      <c r="E143" s="9" t="str">
        <f t="shared" si="17"/>
        <v>女</v>
      </c>
      <c r="F143" s="9" t="str">
        <f>"639920240429144450119117"</f>
        <v>639920240429144450119117</v>
      </c>
      <c r="G143" s="9" t="str">
        <f t="shared" si="14"/>
        <v>0104</v>
      </c>
      <c r="H143" s="9" t="s">
        <v>12</v>
      </c>
      <c r="I143" s="8"/>
    </row>
    <row r="144" spans="1:9" s="2" customFormat="1" ht="30" customHeight="1">
      <c r="A144" s="8">
        <v>142</v>
      </c>
      <c r="B144" s="9" t="s">
        <v>10</v>
      </c>
      <c r="C144" s="9" t="s">
        <v>16</v>
      </c>
      <c r="D144" s="9" t="str">
        <f>"赵佳佳"</f>
        <v>赵佳佳</v>
      </c>
      <c r="E144" s="9" t="str">
        <f t="shared" si="17"/>
        <v>女</v>
      </c>
      <c r="F144" s="9" t="str">
        <f>"639920240429163738119680"</f>
        <v>639920240429163738119680</v>
      </c>
      <c r="G144" s="9" t="str">
        <f t="shared" si="14"/>
        <v>0104</v>
      </c>
      <c r="H144" s="9" t="s">
        <v>12</v>
      </c>
      <c r="I144" s="8"/>
    </row>
    <row r="145" spans="1:9" s="2" customFormat="1" ht="30" customHeight="1">
      <c r="A145" s="8">
        <v>143</v>
      </c>
      <c r="B145" s="9" t="s">
        <v>10</v>
      </c>
      <c r="C145" s="9" t="s">
        <v>16</v>
      </c>
      <c r="D145" s="9" t="str">
        <f>"林晓燕"</f>
        <v>林晓燕</v>
      </c>
      <c r="E145" s="9" t="str">
        <f t="shared" si="17"/>
        <v>女</v>
      </c>
      <c r="F145" s="9" t="str">
        <f>"639920240429164913119715"</f>
        <v>639920240429164913119715</v>
      </c>
      <c r="G145" s="9" t="str">
        <f t="shared" si="14"/>
        <v>0104</v>
      </c>
      <c r="H145" s="9" t="s">
        <v>12</v>
      </c>
      <c r="I145" s="8"/>
    </row>
    <row r="146" spans="1:9" s="2" customFormat="1" ht="30" customHeight="1">
      <c r="A146" s="8">
        <v>144</v>
      </c>
      <c r="B146" s="9" t="s">
        <v>10</v>
      </c>
      <c r="C146" s="9" t="s">
        <v>17</v>
      </c>
      <c r="D146" s="9" t="str">
        <f>"廖梦琦"</f>
        <v>廖梦琦</v>
      </c>
      <c r="E146" s="9" t="str">
        <f t="shared" si="17"/>
        <v>女</v>
      </c>
      <c r="F146" s="9" t="str">
        <f>"63992024041919211651769"</f>
        <v>63992024041919211651769</v>
      </c>
      <c r="G146" s="9" t="str">
        <f aca="true" t="shared" si="18" ref="G146:G186">"0105"</f>
        <v>0105</v>
      </c>
      <c r="H146" s="9" t="s">
        <v>12</v>
      </c>
      <c r="I146" s="8"/>
    </row>
    <row r="147" spans="1:9" s="2" customFormat="1" ht="30" customHeight="1">
      <c r="A147" s="8">
        <v>145</v>
      </c>
      <c r="B147" s="9" t="s">
        <v>10</v>
      </c>
      <c r="C147" s="9" t="s">
        <v>17</v>
      </c>
      <c r="D147" s="9" t="str">
        <f>"黄垂旦"</f>
        <v>黄垂旦</v>
      </c>
      <c r="E147" s="9" t="str">
        <f t="shared" si="17"/>
        <v>女</v>
      </c>
      <c r="F147" s="9" t="str">
        <f>"63992024042023362456733"</f>
        <v>63992024042023362456733</v>
      </c>
      <c r="G147" s="9" t="str">
        <f t="shared" si="18"/>
        <v>0105</v>
      </c>
      <c r="H147" s="9" t="s">
        <v>12</v>
      </c>
      <c r="I147" s="8"/>
    </row>
    <row r="148" spans="1:9" s="2" customFormat="1" ht="30" customHeight="1">
      <c r="A148" s="8">
        <v>146</v>
      </c>
      <c r="B148" s="9" t="s">
        <v>10</v>
      </c>
      <c r="C148" s="9" t="s">
        <v>17</v>
      </c>
      <c r="D148" s="9" t="str">
        <f>"林萍丽"</f>
        <v>林萍丽</v>
      </c>
      <c r="E148" s="9" t="str">
        <f t="shared" si="17"/>
        <v>女</v>
      </c>
      <c r="F148" s="9" t="str">
        <f>"63992024042107482156808"</f>
        <v>63992024042107482156808</v>
      </c>
      <c r="G148" s="9" t="str">
        <f t="shared" si="18"/>
        <v>0105</v>
      </c>
      <c r="H148" s="9" t="s">
        <v>12</v>
      </c>
      <c r="I148" s="8"/>
    </row>
    <row r="149" spans="1:9" s="2" customFormat="1" ht="30" customHeight="1">
      <c r="A149" s="8">
        <v>147</v>
      </c>
      <c r="B149" s="9" t="s">
        <v>10</v>
      </c>
      <c r="C149" s="9" t="s">
        <v>17</v>
      </c>
      <c r="D149" s="9" t="str">
        <f>"吴少妮"</f>
        <v>吴少妮</v>
      </c>
      <c r="E149" s="9" t="str">
        <f t="shared" si="17"/>
        <v>女</v>
      </c>
      <c r="F149" s="9" t="str">
        <f>"63992024042000004952206"</f>
        <v>63992024042000004952206</v>
      </c>
      <c r="G149" s="9" t="str">
        <f t="shared" si="18"/>
        <v>0105</v>
      </c>
      <c r="H149" s="9" t="s">
        <v>12</v>
      </c>
      <c r="I149" s="8"/>
    </row>
    <row r="150" spans="1:9" s="2" customFormat="1" ht="30" customHeight="1">
      <c r="A150" s="8">
        <v>148</v>
      </c>
      <c r="B150" s="9" t="s">
        <v>10</v>
      </c>
      <c r="C150" s="9" t="s">
        <v>17</v>
      </c>
      <c r="D150" s="9" t="str">
        <f>"洪敬雯"</f>
        <v>洪敬雯</v>
      </c>
      <c r="E150" s="9" t="str">
        <f t="shared" si="17"/>
        <v>女</v>
      </c>
      <c r="F150" s="9" t="str">
        <f>"63992024042115503657503"</f>
        <v>63992024042115503657503</v>
      </c>
      <c r="G150" s="9" t="str">
        <f t="shared" si="18"/>
        <v>0105</v>
      </c>
      <c r="H150" s="9" t="s">
        <v>12</v>
      </c>
      <c r="I150" s="8"/>
    </row>
    <row r="151" spans="1:9" s="2" customFormat="1" ht="30" customHeight="1">
      <c r="A151" s="8">
        <v>149</v>
      </c>
      <c r="B151" s="9" t="s">
        <v>10</v>
      </c>
      <c r="C151" s="9" t="s">
        <v>17</v>
      </c>
      <c r="D151" s="9" t="str">
        <f>"朱照桃"</f>
        <v>朱照桃</v>
      </c>
      <c r="E151" s="9" t="str">
        <f t="shared" si="17"/>
        <v>女</v>
      </c>
      <c r="F151" s="9" t="str">
        <f>"63992024041916434151395"</f>
        <v>63992024041916434151395</v>
      </c>
      <c r="G151" s="9" t="str">
        <f t="shared" si="18"/>
        <v>0105</v>
      </c>
      <c r="H151" s="9" t="s">
        <v>12</v>
      </c>
      <c r="I151" s="8"/>
    </row>
    <row r="152" spans="1:9" s="2" customFormat="1" ht="30" customHeight="1">
      <c r="A152" s="8">
        <v>150</v>
      </c>
      <c r="B152" s="9" t="s">
        <v>10</v>
      </c>
      <c r="C152" s="9" t="s">
        <v>17</v>
      </c>
      <c r="D152" s="9" t="str">
        <f>"黎玉花"</f>
        <v>黎玉花</v>
      </c>
      <c r="E152" s="9" t="str">
        <f t="shared" si="17"/>
        <v>女</v>
      </c>
      <c r="F152" s="9" t="str">
        <f>"63992024042211002960469"</f>
        <v>63992024042211002960469</v>
      </c>
      <c r="G152" s="9" t="str">
        <f t="shared" si="18"/>
        <v>0105</v>
      </c>
      <c r="H152" s="9" t="s">
        <v>12</v>
      </c>
      <c r="I152" s="8"/>
    </row>
    <row r="153" spans="1:9" s="2" customFormat="1" ht="30" customHeight="1">
      <c r="A153" s="8">
        <v>151</v>
      </c>
      <c r="B153" s="9" t="s">
        <v>10</v>
      </c>
      <c r="C153" s="9" t="s">
        <v>17</v>
      </c>
      <c r="D153" s="9" t="str">
        <f>"王艳"</f>
        <v>王艳</v>
      </c>
      <c r="E153" s="9" t="str">
        <f t="shared" si="17"/>
        <v>女</v>
      </c>
      <c r="F153" s="9" t="str">
        <f>"63992024042219500267383"</f>
        <v>63992024042219500267383</v>
      </c>
      <c r="G153" s="9" t="str">
        <f t="shared" si="18"/>
        <v>0105</v>
      </c>
      <c r="H153" s="9" t="s">
        <v>12</v>
      </c>
      <c r="I153" s="8"/>
    </row>
    <row r="154" spans="1:9" s="2" customFormat="1" ht="30" customHeight="1">
      <c r="A154" s="8">
        <v>152</v>
      </c>
      <c r="B154" s="9" t="s">
        <v>10</v>
      </c>
      <c r="C154" s="9" t="s">
        <v>17</v>
      </c>
      <c r="D154" s="9" t="str">
        <f>"麦娜"</f>
        <v>麦娜</v>
      </c>
      <c r="E154" s="9" t="str">
        <f t="shared" si="17"/>
        <v>女</v>
      </c>
      <c r="F154" s="9" t="str">
        <f>"63992024042309205769616"</f>
        <v>63992024042309205769616</v>
      </c>
      <c r="G154" s="9" t="str">
        <f t="shared" si="18"/>
        <v>0105</v>
      </c>
      <c r="H154" s="9" t="s">
        <v>12</v>
      </c>
      <c r="I154" s="8"/>
    </row>
    <row r="155" spans="1:9" s="2" customFormat="1" ht="30" customHeight="1">
      <c r="A155" s="8">
        <v>153</v>
      </c>
      <c r="B155" s="9" t="s">
        <v>10</v>
      </c>
      <c r="C155" s="9" t="s">
        <v>17</v>
      </c>
      <c r="D155" s="9" t="str">
        <f>"陈梅"</f>
        <v>陈梅</v>
      </c>
      <c r="E155" s="9" t="str">
        <f t="shared" si="17"/>
        <v>女</v>
      </c>
      <c r="F155" s="9" t="str">
        <f>"63992024042310484171651"</f>
        <v>63992024042310484171651</v>
      </c>
      <c r="G155" s="9" t="str">
        <f t="shared" si="18"/>
        <v>0105</v>
      </c>
      <c r="H155" s="9" t="s">
        <v>12</v>
      </c>
      <c r="I155" s="8"/>
    </row>
    <row r="156" spans="1:9" s="2" customFormat="1" ht="39.75" customHeight="1">
      <c r="A156" s="8">
        <v>154</v>
      </c>
      <c r="B156" s="9" t="s">
        <v>10</v>
      </c>
      <c r="C156" s="9" t="s">
        <v>17</v>
      </c>
      <c r="D156" s="9" t="str">
        <f>"符志婧"</f>
        <v>符志婧</v>
      </c>
      <c r="E156" s="9" t="str">
        <f t="shared" si="17"/>
        <v>女</v>
      </c>
      <c r="F156" s="9" t="str">
        <f>"63992024042314395474456"</f>
        <v>63992024042314395474456</v>
      </c>
      <c r="G156" s="9" t="str">
        <f t="shared" si="18"/>
        <v>0105</v>
      </c>
      <c r="H156" s="10" t="s">
        <v>15</v>
      </c>
      <c r="I156" s="8"/>
    </row>
    <row r="157" spans="1:9" s="2" customFormat="1" ht="30" customHeight="1">
      <c r="A157" s="8">
        <v>155</v>
      </c>
      <c r="B157" s="9" t="s">
        <v>10</v>
      </c>
      <c r="C157" s="9" t="s">
        <v>17</v>
      </c>
      <c r="D157" s="9" t="str">
        <f>"梁盈"</f>
        <v>梁盈</v>
      </c>
      <c r="E157" s="9" t="str">
        <f t="shared" si="17"/>
        <v>女</v>
      </c>
      <c r="F157" s="9" t="str">
        <f>"63992024042315292375019"</f>
        <v>63992024042315292375019</v>
      </c>
      <c r="G157" s="9" t="str">
        <f t="shared" si="18"/>
        <v>0105</v>
      </c>
      <c r="H157" s="9" t="s">
        <v>12</v>
      </c>
      <c r="I157" s="8"/>
    </row>
    <row r="158" spans="1:9" s="2" customFormat="1" ht="30" customHeight="1">
      <c r="A158" s="8">
        <v>156</v>
      </c>
      <c r="B158" s="9" t="s">
        <v>10</v>
      </c>
      <c r="C158" s="9" t="s">
        <v>17</v>
      </c>
      <c r="D158" s="9" t="str">
        <f>"何发川"</f>
        <v>何发川</v>
      </c>
      <c r="E158" s="9" t="str">
        <f t="shared" si="17"/>
        <v>女</v>
      </c>
      <c r="F158" s="9" t="str">
        <f>"63992024042315220974936"</f>
        <v>63992024042315220974936</v>
      </c>
      <c r="G158" s="9" t="str">
        <f t="shared" si="18"/>
        <v>0105</v>
      </c>
      <c r="H158" s="9" t="s">
        <v>12</v>
      </c>
      <c r="I158" s="8"/>
    </row>
    <row r="159" spans="1:9" s="2" customFormat="1" ht="30" customHeight="1">
      <c r="A159" s="8">
        <v>157</v>
      </c>
      <c r="B159" s="9" t="s">
        <v>10</v>
      </c>
      <c r="C159" s="9" t="s">
        <v>17</v>
      </c>
      <c r="D159" s="9" t="str">
        <f>"赖秋云"</f>
        <v>赖秋云</v>
      </c>
      <c r="E159" s="9" t="str">
        <f t="shared" si="17"/>
        <v>女</v>
      </c>
      <c r="F159" s="9" t="str">
        <f>"63992024042316591576055"</f>
        <v>63992024042316591576055</v>
      </c>
      <c r="G159" s="9" t="str">
        <f t="shared" si="18"/>
        <v>0105</v>
      </c>
      <c r="H159" s="9" t="s">
        <v>12</v>
      </c>
      <c r="I159" s="8"/>
    </row>
    <row r="160" spans="1:9" s="2" customFormat="1" ht="30" customHeight="1">
      <c r="A160" s="8">
        <v>158</v>
      </c>
      <c r="B160" s="9" t="s">
        <v>10</v>
      </c>
      <c r="C160" s="9" t="s">
        <v>17</v>
      </c>
      <c r="D160" s="9" t="str">
        <f>"王星代"</f>
        <v>王星代</v>
      </c>
      <c r="E160" s="9" t="str">
        <f t="shared" si="17"/>
        <v>女</v>
      </c>
      <c r="F160" s="9" t="str">
        <f>"63992024042316503175972"</f>
        <v>63992024042316503175972</v>
      </c>
      <c r="G160" s="9" t="str">
        <f t="shared" si="18"/>
        <v>0105</v>
      </c>
      <c r="H160" s="9" t="s">
        <v>12</v>
      </c>
      <c r="I160" s="8"/>
    </row>
    <row r="161" spans="1:9" s="2" customFormat="1" ht="30" customHeight="1">
      <c r="A161" s="8">
        <v>159</v>
      </c>
      <c r="B161" s="9" t="s">
        <v>10</v>
      </c>
      <c r="C161" s="9" t="s">
        <v>17</v>
      </c>
      <c r="D161" s="9" t="str">
        <f>"黄志灵"</f>
        <v>黄志灵</v>
      </c>
      <c r="E161" s="9" t="str">
        <f t="shared" si="17"/>
        <v>女</v>
      </c>
      <c r="F161" s="9" t="str">
        <f>"63992024042321354879179"</f>
        <v>63992024042321354879179</v>
      </c>
      <c r="G161" s="9" t="str">
        <f t="shared" si="18"/>
        <v>0105</v>
      </c>
      <c r="H161" s="9" t="s">
        <v>12</v>
      </c>
      <c r="I161" s="8"/>
    </row>
    <row r="162" spans="1:9" s="2" customFormat="1" ht="30" customHeight="1">
      <c r="A162" s="8">
        <v>160</v>
      </c>
      <c r="B162" s="9" t="s">
        <v>10</v>
      </c>
      <c r="C162" s="9" t="s">
        <v>17</v>
      </c>
      <c r="D162" s="9" t="str">
        <f>"邢妮雅"</f>
        <v>邢妮雅</v>
      </c>
      <c r="E162" s="9" t="str">
        <f t="shared" si="17"/>
        <v>女</v>
      </c>
      <c r="F162" s="9" t="str">
        <f>"63992024042323562980157"</f>
        <v>63992024042323562980157</v>
      </c>
      <c r="G162" s="9" t="str">
        <f t="shared" si="18"/>
        <v>0105</v>
      </c>
      <c r="H162" s="9" t="s">
        <v>12</v>
      </c>
      <c r="I162" s="8"/>
    </row>
    <row r="163" spans="1:9" s="2" customFormat="1" ht="30" customHeight="1">
      <c r="A163" s="8">
        <v>161</v>
      </c>
      <c r="B163" s="9" t="s">
        <v>10</v>
      </c>
      <c r="C163" s="9" t="s">
        <v>17</v>
      </c>
      <c r="D163" s="9" t="str">
        <f>"梁惠霖"</f>
        <v>梁惠霖</v>
      </c>
      <c r="E163" s="9" t="str">
        <f t="shared" si="17"/>
        <v>女</v>
      </c>
      <c r="F163" s="9" t="str">
        <f>"63992024042411100186921"</f>
        <v>63992024042411100186921</v>
      </c>
      <c r="G163" s="9" t="str">
        <f t="shared" si="18"/>
        <v>0105</v>
      </c>
      <c r="H163" s="9" t="s">
        <v>12</v>
      </c>
      <c r="I163" s="8"/>
    </row>
    <row r="164" spans="1:9" s="2" customFormat="1" ht="30" customHeight="1">
      <c r="A164" s="8">
        <v>162</v>
      </c>
      <c r="B164" s="9" t="s">
        <v>10</v>
      </c>
      <c r="C164" s="9" t="s">
        <v>17</v>
      </c>
      <c r="D164" s="9" t="str">
        <f>"赵莎莎"</f>
        <v>赵莎莎</v>
      </c>
      <c r="E164" s="9" t="str">
        <f t="shared" si="17"/>
        <v>女</v>
      </c>
      <c r="F164" s="9" t="str">
        <f>"63992024042509564594234"</f>
        <v>63992024042509564594234</v>
      </c>
      <c r="G164" s="9" t="str">
        <f t="shared" si="18"/>
        <v>0105</v>
      </c>
      <c r="H164" s="9" t="s">
        <v>12</v>
      </c>
      <c r="I164" s="8"/>
    </row>
    <row r="165" spans="1:9" s="2" customFormat="1" ht="30" customHeight="1">
      <c r="A165" s="8">
        <v>163</v>
      </c>
      <c r="B165" s="9" t="s">
        <v>10</v>
      </c>
      <c r="C165" s="9" t="s">
        <v>17</v>
      </c>
      <c r="D165" s="9" t="str">
        <f>"周炜博"</f>
        <v>周炜博</v>
      </c>
      <c r="E165" s="9" t="str">
        <f aca="true" t="shared" si="19" ref="E165:E170">"男"</f>
        <v>男</v>
      </c>
      <c r="F165" s="9" t="str">
        <f>"63992024042516403497149"</f>
        <v>63992024042516403497149</v>
      </c>
      <c r="G165" s="9" t="str">
        <f t="shared" si="18"/>
        <v>0105</v>
      </c>
      <c r="H165" s="9" t="s">
        <v>12</v>
      </c>
      <c r="I165" s="8"/>
    </row>
    <row r="166" spans="1:9" s="2" customFormat="1" ht="30" customHeight="1">
      <c r="A166" s="8">
        <v>164</v>
      </c>
      <c r="B166" s="9" t="s">
        <v>10</v>
      </c>
      <c r="C166" s="9" t="s">
        <v>17</v>
      </c>
      <c r="D166" s="9" t="str">
        <f>"马小施"</f>
        <v>马小施</v>
      </c>
      <c r="E166" s="9" t="str">
        <f aca="true" t="shared" si="20" ref="E166:E169">"女"</f>
        <v>女</v>
      </c>
      <c r="F166" s="9" t="str">
        <f>"63992024042515541596897"</f>
        <v>63992024042515541596897</v>
      </c>
      <c r="G166" s="9" t="str">
        <f t="shared" si="18"/>
        <v>0105</v>
      </c>
      <c r="H166" s="9" t="s">
        <v>12</v>
      </c>
      <c r="I166" s="8"/>
    </row>
    <row r="167" spans="1:9" s="2" customFormat="1" ht="30" customHeight="1">
      <c r="A167" s="8">
        <v>165</v>
      </c>
      <c r="B167" s="9" t="s">
        <v>10</v>
      </c>
      <c r="C167" s="9" t="s">
        <v>17</v>
      </c>
      <c r="D167" s="9" t="str">
        <f>"王小云"</f>
        <v>王小云</v>
      </c>
      <c r="E167" s="9" t="str">
        <f t="shared" si="20"/>
        <v>女</v>
      </c>
      <c r="F167" s="9" t="str">
        <f>"63992024042523081798223"</f>
        <v>63992024042523081798223</v>
      </c>
      <c r="G167" s="9" t="str">
        <f t="shared" si="18"/>
        <v>0105</v>
      </c>
      <c r="H167" s="9" t="s">
        <v>12</v>
      </c>
      <c r="I167" s="8"/>
    </row>
    <row r="168" spans="1:9" s="2" customFormat="1" ht="39.75" customHeight="1">
      <c r="A168" s="8">
        <v>166</v>
      </c>
      <c r="B168" s="9" t="s">
        <v>10</v>
      </c>
      <c r="C168" s="9" t="s">
        <v>17</v>
      </c>
      <c r="D168" s="9" t="str">
        <f>"瞿灯辉"</f>
        <v>瞿灯辉</v>
      </c>
      <c r="E168" s="9" t="str">
        <f t="shared" si="19"/>
        <v>男</v>
      </c>
      <c r="F168" s="9" t="str">
        <f>"639920240426201852111420"</f>
        <v>639920240426201852111420</v>
      </c>
      <c r="G168" s="9" t="str">
        <f t="shared" si="18"/>
        <v>0105</v>
      </c>
      <c r="H168" s="10" t="s">
        <v>15</v>
      </c>
      <c r="I168" s="8"/>
    </row>
    <row r="169" spans="1:9" s="2" customFormat="1" ht="30" customHeight="1">
      <c r="A169" s="8">
        <v>167</v>
      </c>
      <c r="B169" s="9" t="s">
        <v>10</v>
      </c>
      <c r="C169" s="9" t="s">
        <v>17</v>
      </c>
      <c r="D169" s="9" t="str">
        <f>"顾晓芸"</f>
        <v>顾晓芸</v>
      </c>
      <c r="E169" s="9" t="str">
        <f t="shared" si="20"/>
        <v>女</v>
      </c>
      <c r="F169" s="9" t="str">
        <f>"639920240426204641111465"</f>
        <v>639920240426204641111465</v>
      </c>
      <c r="G169" s="9" t="str">
        <f t="shared" si="18"/>
        <v>0105</v>
      </c>
      <c r="H169" s="9" t="s">
        <v>12</v>
      </c>
      <c r="I169" s="8"/>
    </row>
    <row r="170" spans="1:9" s="2" customFormat="1" ht="30" customHeight="1">
      <c r="A170" s="8">
        <v>168</v>
      </c>
      <c r="B170" s="9" t="s">
        <v>10</v>
      </c>
      <c r="C170" s="9" t="s">
        <v>17</v>
      </c>
      <c r="D170" s="9" t="str">
        <f>"赵衍珥"</f>
        <v>赵衍珥</v>
      </c>
      <c r="E170" s="9" t="str">
        <f t="shared" si="19"/>
        <v>男</v>
      </c>
      <c r="F170" s="9" t="str">
        <f>"639920240426231049111698"</f>
        <v>639920240426231049111698</v>
      </c>
      <c r="G170" s="9" t="str">
        <f t="shared" si="18"/>
        <v>0105</v>
      </c>
      <c r="H170" s="9" t="s">
        <v>12</v>
      </c>
      <c r="I170" s="8"/>
    </row>
    <row r="171" spans="1:9" s="2" customFormat="1" ht="30" customHeight="1">
      <c r="A171" s="8">
        <v>169</v>
      </c>
      <c r="B171" s="9" t="s">
        <v>10</v>
      </c>
      <c r="C171" s="9" t="s">
        <v>17</v>
      </c>
      <c r="D171" s="9" t="str">
        <f>"李荔潘"</f>
        <v>李荔潘</v>
      </c>
      <c r="E171" s="9" t="str">
        <f aca="true" t="shared" si="21" ref="E171:E174">"女"</f>
        <v>女</v>
      </c>
      <c r="F171" s="9" t="str">
        <f>"639920240427000640111748"</f>
        <v>639920240427000640111748</v>
      </c>
      <c r="G171" s="9" t="str">
        <f t="shared" si="18"/>
        <v>0105</v>
      </c>
      <c r="H171" s="9" t="s">
        <v>12</v>
      </c>
      <c r="I171" s="8"/>
    </row>
    <row r="172" spans="1:9" s="2" customFormat="1" ht="30" customHeight="1">
      <c r="A172" s="8">
        <v>170</v>
      </c>
      <c r="B172" s="9" t="s">
        <v>10</v>
      </c>
      <c r="C172" s="9" t="s">
        <v>17</v>
      </c>
      <c r="D172" s="9" t="str">
        <f>"梁又斤"</f>
        <v>梁又斤</v>
      </c>
      <c r="E172" s="9" t="str">
        <f t="shared" si="21"/>
        <v>女</v>
      </c>
      <c r="F172" s="9" t="str">
        <f>"639920240427095906112112"</f>
        <v>639920240427095906112112</v>
      </c>
      <c r="G172" s="9" t="str">
        <f t="shared" si="18"/>
        <v>0105</v>
      </c>
      <c r="H172" s="9" t="s">
        <v>12</v>
      </c>
      <c r="I172" s="8"/>
    </row>
    <row r="173" spans="1:9" s="2" customFormat="1" ht="30" customHeight="1">
      <c r="A173" s="8">
        <v>171</v>
      </c>
      <c r="B173" s="9" t="s">
        <v>10</v>
      </c>
      <c r="C173" s="9" t="s">
        <v>17</v>
      </c>
      <c r="D173" s="9" t="str">
        <f>"陈茵茵"</f>
        <v>陈茵茵</v>
      </c>
      <c r="E173" s="9" t="str">
        <f t="shared" si="21"/>
        <v>女</v>
      </c>
      <c r="F173" s="9" t="str">
        <f>"639920240427094920112073"</f>
        <v>639920240427094920112073</v>
      </c>
      <c r="G173" s="9" t="str">
        <f t="shared" si="18"/>
        <v>0105</v>
      </c>
      <c r="H173" s="9" t="s">
        <v>12</v>
      </c>
      <c r="I173" s="8"/>
    </row>
    <row r="174" spans="1:9" s="2" customFormat="1" ht="30" customHeight="1">
      <c r="A174" s="8">
        <v>172</v>
      </c>
      <c r="B174" s="9" t="s">
        <v>10</v>
      </c>
      <c r="C174" s="9" t="s">
        <v>17</v>
      </c>
      <c r="D174" s="9" t="str">
        <f>"黄民姣"</f>
        <v>黄民姣</v>
      </c>
      <c r="E174" s="9" t="str">
        <f t="shared" si="21"/>
        <v>女</v>
      </c>
      <c r="F174" s="9" t="str">
        <f>"63992024042513491595685"</f>
        <v>63992024042513491595685</v>
      </c>
      <c r="G174" s="9" t="str">
        <f t="shared" si="18"/>
        <v>0105</v>
      </c>
      <c r="H174" s="9" t="s">
        <v>12</v>
      </c>
      <c r="I174" s="8"/>
    </row>
    <row r="175" spans="1:9" s="2" customFormat="1" ht="30" customHeight="1">
      <c r="A175" s="8">
        <v>173</v>
      </c>
      <c r="B175" s="9" t="s">
        <v>10</v>
      </c>
      <c r="C175" s="9" t="s">
        <v>17</v>
      </c>
      <c r="D175" s="9" t="str">
        <f>"邓文鑫"</f>
        <v>邓文鑫</v>
      </c>
      <c r="E175" s="9" t="str">
        <f>"男"</f>
        <v>男</v>
      </c>
      <c r="F175" s="9" t="str">
        <f>"639920240427161557113079"</f>
        <v>639920240427161557113079</v>
      </c>
      <c r="G175" s="9" t="str">
        <f t="shared" si="18"/>
        <v>0105</v>
      </c>
      <c r="H175" s="9" t="s">
        <v>12</v>
      </c>
      <c r="I175" s="8"/>
    </row>
    <row r="176" spans="1:9" s="2" customFormat="1" ht="30" customHeight="1">
      <c r="A176" s="8">
        <v>174</v>
      </c>
      <c r="B176" s="9" t="s">
        <v>10</v>
      </c>
      <c r="C176" s="9" t="s">
        <v>17</v>
      </c>
      <c r="D176" s="9" t="str">
        <f>"羊丽英"</f>
        <v>羊丽英</v>
      </c>
      <c r="E176" s="9" t="str">
        <f aca="true" t="shared" si="22" ref="E176:E182">"女"</f>
        <v>女</v>
      </c>
      <c r="F176" s="9" t="str">
        <f>"639920240427230123113975"</f>
        <v>639920240427230123113975</v>
      </c>
      <c r="G176" s="9" t="str">
        <f t="shared" si="18"/>
        <v>0105</v>
      </c>
      <c r="H176" s="9" t="s">
        <v>12</v>
      </c>
      <c r="I176" s="8"/>
    </row>
    <row r="177" spans="1:9" s="2" customFormat="1" ht="30" customHeight="1">
      <c r="A177" s="8">
        <v>175</v>
      </c>
      <c r="B177" s="9" t="s">
        <v>10</v>
      </c>
      <c r="C177" s="9" t="s">
        <v>17</v>
      </c>
      <c r="D177" s="9" t="str">
        <f>"刘亚妹"</f>
        <v>刘亚妹</v>
      </c>
      <c r="E177" s="9" t="str">
        <f t="shared" si="22"/>
        <v>女</v>
      </c>
      <c r="F177" s="9" t="str">
        <f>"639920240428172616116523"</f>
        <v>639920240428172616116523</v>
      </c>
      <c r="G177" s="9" t="str">
        <f t="shared" si="18"/>
        <v>0105</v>
      </c>
      <c r="H177" s="9" t="s">
        <v>12</v>
      </c>
      <c r="I177" s="8"/>
    </row>
    <row r="178" spans="1:9" s="2" customFormat="1" ht="30" customHeight="1">
      <c r="A178" s="8">
        <v>176</v>
      </c>
      <c r="B178" s="9" t="s">
        <v>10</v>
      </c>
      <c r="C178" s="9" t="s">
        <v>17</v>
      </c>
      <c r="D178" s="9" t="str">
        <f>"黄许英"</f>
        <v>黄许英</v>
      </c>
      <c r="E178" s="9" t="str">
        <f t="shared" si="22"/>
        <v>女</v>
      </c>
      <c r="F178" s="9" t="str">
        <f>"639920240428225313117263"</f>
        <v>639920240428225313117263</v>
      </c>
      <c r="G178" s="9" t="str">
        <f t="shared" si="18"/>
        <v>0105</v>
      </c>
      <c r="H178" s="9" t="s">
        <v>12</v>
      </c>
      <c r="I178" s="8"/>
    </row>
    <row r="179" spans="1:9" s="2" customFormat="1" ht="30" customHeight="1">
      <c r="A179" s="8">
        <v>177</v>
      </c>
      <c r="B179" s="9" t="s">
        <v>10</v>
      </c>
      <c r="C179" s="9" t="s">
        <v>17</v>
      </c>
      <c r="D179" s="9" t="str">
        <f>"李小青"</f>
        <v>李小青</v>
      </c>
      <c r="E179" s="9" t="str">
        <f t="shared" si="22"/>
        <v>女</v>
      </c>
      <c r="F179" s="9" t="str">
        <f>"639920240428231939117295"</f>
        <v>639920240428231939117295</v>
      </c>
      <c r="G179" s="9" t="str">
        <f t="shared" si="18"/>
        <v>0105</v>
      </c>
      <c r="H179" s="9" t="s">
        <v>12</v>
      </c>
      <c r="I179" s="8"/>
    </row>
    <row r="180" spans="1:9" s="2" customFormat="1" ht="30" customHeight="1">
      <c r="A180" s="8">
        <v>178</v>
      </c>
      <c r="B180" s="9" t="s">
        <v>10</v>
      </c>
      <c r="C180" s="9" t="s">
        <v>17</v>
      </c>
      <c r="D180" s="9" t="str">
        <f>"李茵"</f>
        <v>李茵</v>
      </c>
      <c r="E180" s="9" t="str">
        <f t="shared" si="22"/>
        <v>女</v>
      </c>
      <c r="F180" s="9" t="str">
        <f>"639920240429003534117352"</f>
        <v>639920240429003534117352</v>
      </c>
      <c r="G180" s="9" t="str">
        <f t="shared" si="18"/>
        <v>0105</v>
      </c>
      <c r="H180" s="9" t="s">
        <v>12</v>
      </c>
      <c r="I180" s="8"/>
    </row>
    <row r="181" spans="1:9" s="2" customFormat="1" ht="30" customHeight="1">
      <c r="A181" s="8">
        <v>179</v>
      </c>
      <c r="B181" s="9" t="s">
        <v>10</v>
      </c>
      <c r="C181" s="9" t="s">
        <v>17</v>
      </c>
      <c r="D181" s="9" t="str">
        <f>"赵兴坤"</f>
        <v>赵兴坤</v>
      </c>
      <c r="E181" s="9" t="str">
        <f t="shared" si="22"/>
        <v>女</v>
      </c>
      <c r="F181" s="9" t="str">
        <f>"639920240429113840118488"</f>
        <v>639920240429113840118488</v>
      </c>
      <c r="G181" s="9" t="str">
        <f t="shared" si="18"/>
        <v>0105</v>
      </c>
      <c r="H181" s="9" t="s">
        <v>12</v>
      </c>
      <c r="I181" s="8"/>
    </row>
    <row r="182" spans="1:9" s="2" customFormat="1" ht="30" customHeight="1">
      <c r="A182" s="8">
        <v>180</v>
      </c>
      <c r="B182" s="9" t="s">
        <v>10</v>
      </c>
      <c r="C182" s="9" t="s">
        <v>17</v>
      </c>
      <c r="D182" s="9" t="str">
        <f>"陈莹"</f>
        <v>陈莹</v>
      </c>
      <c r="E182" s="9" t="str">
        <f t="shared" si="22"/>
        <v>女</v>
      </c>
      <c r="F182" s="9" t="str">
        <f>"639920240429120634118589"</f>
        <v>639920240429120634118589</v>
      </c>
      <c r="G182" s="9" t="str">
        <f t="shared" si="18"/>
        <v>0105</v>
      </c>
      <c r="H182" s="9" t="s">
        <v>12</v>
      </c>
      <c r="I182" s="8"/>
    </row>
    <row r="183" spans="1:9" s="2" customFormat="1" ht="30" customHeight="1">
      <c r="A183" s="8">
        <v>181</v>
      </c>
      <c r="B183" s="9" t="s">
        <v>10</v>
      </c>
      <c r="C183" s="9" t="s">
        <v>17</v>
      </c>
      <c r="D183" s="9" t="str">
        <f>"廖忠基"</f>
        <v>廖忠基</v>
      </c>
      <c r="E183" s="9" t="str">
        <f>"男"</f>
        <v>男</v>
      </c>
      <c r="F183" s="9" t="str">
        <f>"639920240429143946119087"</f>
        <v>639920240429143946119087</v>
      </c>
      <c r="G183" s="9" t="str">
        <f t="shared" si="18"/>
        <v>0105</v>
      </c>
      <c r="H183" s="9" t="s">
        <v>12</v>
      </c>
      <c r="I183" s="8"/>
    </row>
    <row r="184" spans="1:9" s="2" customFormat="1" ht="30" customHeight="1">
      <c r="A184" s="8">
        <v>182</v>
      </c>
      <c r="B184" s="9" t="s">
        <v>10</v>
      </c>
      <c r="C184" s="9" t="s">
        <v>17</v>
      </c>
      <c r="D184" s="9" t="str">
        <f>"杨梅燕"</f>
        <v>杨梅燕</v>
      </c>
      <c r="E184" s="9" t="str">
        <f>"女"</f>
        <v>女</v>
      </c>
      <c r="F184" s="9" t="str">
        <f>"639920240428100110114739"</f>
        <v>639920240428100110114739</v>
      </c>
      <c r="G184" s="9" t="str">
        <f t="shared" si="18"/>
        <v>0105</v>
      </c>
      <c r="H184" s="9" t="s">
        <v>12</v>
      </c>
      <c r="I184" s="8"/>
    </row>
    <row r="185" spans="1:9" s="2" customFormat="1" ht="30" customHeight="1">
      <c r="A185" s="8">
        <v>183</v>
      </c>
      <c r="B185" s="9" t="s">
        <v>10</v>
      </c>
      <c r="C185" s="9" t="s">
        <v>17</v>
      </c>
      <c r="D185" s="9" t="s">
        <v>18</v>
      </c>
      <c r="E185" s="9" t="str">
        <f>"女"</f>
        <v>女</v>
      </c>
      <c r="F185" s="9" t="str">
        <f>"639920240429161605119596"</f>
        <v>639920240429161605119596</v>
      </c>
      <c r="G185" s="9" t="str">
        <f t="shared" si="18"/>
        <v>0105</v>
      </c>
      <c r="H185" s="9" t="s">
        <v>12</v>
      </c>
      <c r="I185" s="8"/>
    </row>
    <row r="186" spans="1:9" s="2" customFormat="1" ht="39.75" customHeight="1">
      <c r="A186" s="8">
        <v>184</v>
      </c>
      <c r="B186" s="9" t="s">
        <v>10</v>
      </c>
      <c r="C186" s="9" t="s">
        <v>17</v>
      </c>
      <c r="D186" s="9" t="s">
        <v>19</v>
      </c>
      <c r="E186" s="9" t="s">
        <v>20</v>
      </c>
      <c r="F186" s="9" t="str">
        <f>"639920240429155045119480"</f>
        <v>639920240429155045119480</v>
      </c>
      <c r="G186" s="9" t="str">
        <f t="shared" si="18"/>
        <v>0105</v>
      </c>
      <c r="H186" s="10" t="s">
        <v>15</v>
      </c>
      <c r="I186" s="8"/>
    </row>
    <row r="187" spans="1:9" s="2" customFormat="1" ht="30" customHeight="1">
      <c r="A187" s="8">
        <v>185</v>
      </c>
      <c r="B187" s="9" t="s">
        <v>10</v>
      </c>
      <c r="C187" s="9" t="s">
        <v>21</v>
      </c>
      <c r="D187" s="9" t="str">
        <f>"何琼尾"</f>
        <v>何琼尾</v>
      </c>
      <c r="E187" s="9" t="str">
        <f>"女"</f>
        <v>女</v>
      </c>
      <c r="F187" s="9" t="str">
        <f>"63992024041919052451735"</f>
        <v>63992024041919052451735</v>
      </c>
      <c r="G187" s="9" t="str">
        <f aca="true" t="shared" si="23" ref="G187:G206">"0106"</f>
        <v>0106</v>
      </c>
      <c r="H187" s="9" t="s">
        <v>12</v>
      </c>
      <c r="I187" s="8"/>
    </row>
    <row r="188" spans="1:9" s="2" customFormat="1" ht="30" customHeight="1">
      <c r="A188" s="8">
        <v>186</v>
      </c>
      <c r="B188" s="9" t="s">
        <v>10</v>
      </c>
      <c r="C188" s="9" t="s">
        <v>21</v>
      </c>
      <c r="D188" s="9" t="str">
        <f>"刘凡"</f>
        <v>刘凡</v>
      </c>
      <c r="E188" s="9" t="str">
        <f>"女"</f>
        <v>女</v>
      </c>
      <c r="F188" s="9" t="str">
        <f>"63992024041920570351956"</f>
        <v>63992024041920570351956</v>
      </c>
      <c r="G188" s="9" t="str">
        <f t="shared" si="23"/>
        <v>0106</v>
      </c>
      <c r="H188" s="9" t="s">
        <v>12</v>
      </c>
      <c r="I188" s="8"/>
    </row>
    <row r="189" spans="1:9" s="2" customFormat="1" ht="30" customHeight="1">
      <c r="A189" s="8">
        <v>187</v>
      </c>
      <c r="B189" s="9" t="s">
        <v>10</v>
      </c>
      <c r="C189" s="9" t="s">
        <v>21</v>
      </c>
      <c r="D189" s="9" t="str">
        <f>"梁文耕"</f>
        <v>梁文耕</v>
      </c>
      <c r="E189" s="9" t="str">
        <f>"女"</f>
        <v>女</v>
      </c>
      <c r="F189" s="9" t="str">
        <f>"63992024042121002757885"</f>
        <v>63992024042121002757885</v>
      </c>
      <c r="G189" s="9" t="str">
        <f t="shared" si="23"/>
        <v>0106</v>
      </c>
      <c r="H189" s="9" t="s">
        <v>12</v>
      </c>
      <c r="I189" s="8"/>
    </row>
    <row r="190" spans="1:9" s="2" customFormat="1" ht="30" customHeight="1">
      <c r="A190" s="8">
        <v>188</v>
      </c>
      <c r="B190" s="9" t="s">
        <v>10</v>
      </c>
      <c r="C190" s="9" t="s">
        <v>21</v>
      </c>
      <c r="D190" s="9" t="str">
        <f>"谭脂尹"</f>
        <v>谭脂尹</v>
      </c>
      <c r="E190" s="9" t="str">
        <f>"女"</f>
        <v>女</v>
      </c>
      <c r="F190" s="9" t="str">
        <f>"63992024042022400556686"</f>
        <v>63992024042022400556686</v>
      </c>
      <c r="G190" s="9" t="str">
        <f t="shared" si="23"/>
        <v>0106</v>
      </c>
      <c r="H190" s="9" t="s">
        <v>12</v>
      </c>
      <c r="I190" s="8"/>
    </row>
    <row r="191" spans="1:9" s="2" customFormat="1" ht="39.75" customHeight="1">
      <c r="A191" s="8">
        <v>189</v>
      </c>
      <c r="B191" s="9" t="s">
        <v>10</v>
      </c>
      <c r="C191" s="9" t="s">
        <v>21</v>
      </c>
      <c r="D191" s="9" t="str">
        <f>"吴惠婷"</f>
        <v>吴惠婷</v>
      </c>
      <c r="E191" s="9" t="str">
        <f>"女"</f>
        <v>女</v>
      </c>
      <c r="F191" s="9" t="str">
        <f>"63992024042018375853140"</f>
        <v>63992024042018375853140</v>
      </c>
      <c r="G191" s="9" t="str">
        <f t="shared" si="23"/>
        <v>0106</v>
      </c>
      <c r="H191" s="10" t="s">
        <v>15</v>
      </c>
      <c r="I191" s="8"/>
    </row>
    <row r="192" spans="1:9" s="2" customFormat="1" ht="30" customHeight="1">
      <c r="A192" s="8">
        <v>190</v>
      </c>
      <c r="B192" s="9" t="s">
        <v>10</v>
      </c>
      <c r="C192" s="9" t="s">
        <v>21</v>
      </c>
      <c r="D192" s="9" t="str">
        <f>"罗富强"</f>
        <v>罗富强</v>
      </c>
      <c r="E192" s="9" t="str">
        <f>"男"</f>
        <v>男</v>
      </c>
      <c r="F192" s="9" t="str">
        <f>"63992024042407574280478"</f>
        <v>63992024042407574280478</v>
      </c>
      <c r="G192" s="9" t="str">
        <f t="shared" si="23"/>
        <v>0106</v>
      </c>
      <c r="H192" s="9" t="s">
        <v>12</v>
      </c>
      <c r="I192" s="8"/>
    </row>
    <row r="193" spans="1:9" s="2" customFormat="1" ht="30" customHeight="1">
      <c r="A193" s="8">
        <v>191</v>
      </c>
      <c r="B193" s="9" t="s">
        <v>10</v>
      </c>
      <c r="C193" s="9" t="s">
        <v>21</v>
      </c>
      <c r="D193" s="9" t="str">
        <f>"池燕鸣"</f>
        <v>池燕鸣</v>
      </c>
      <c r="E193" s="9" t="str">
        <f aca="true" t="shared" si="24" ref="E193:E204">"女"</f>
        <v>女</v>
      </c>
      <c r="F193" s="9" t="str">
        <f>"63992024042417222391616"</f>
        <v>63992024042417222391616</v>
      </c>
      <c r="G193" s="9" t="str">
        <f t="shared" si="23"/>
        <v>0106</v>
      </c>
      <c r="H193" s="9" t="s">
        <v>12</v>
      </c>
      <c r="I193" s="8"/>
    </row>
    <row r="194" spans="1:9" s="2" customFormat="1" ht="30" customHeight="1">
      <c r="A194" s="8">
        <v>192</v>
      </c>
      <c r="B194" s="9" t="s">
        <v>10</v>
      </c>
      <c r="C194" s="9" t="s">
        <v>21</v>
      </c>
      <c r="D194" s="9" t="str">
        <f>"李月怡"</f>
        <v>李月怡</v>
      </c>
      <c r="E194" s="9" t="str">
        <f t="shared" si="24"/>
        <v>女</v>
      </c>
      <c r="F194" s="9" t="str">
        <f>"63992024042510380494539"</f>
        <v>63992024042510380494539</v>
      </c>
      <c r="G194" s="9" t="str">
        <f t="shared" si="23"/>
        <v>0106</v>
      </c>
      <c r="H194" s="9" t="s">
        <v>12</v>
      </c>
      <c r="I194" s="8"/>
    </row>
    <row r="195" spans="1:9" s="2" customFormat="1" ht="30" customHeight="1">
      <c r="A195" s="8">
        <v>193</v>
      </c>
      <c r="B195" s="9" t="s">
        <v>10</v>
      </c>
      <c r="C195" s="9" t="s">
        <v>21</v>
      </c>
      <c r="D195" s="9" t="str">
        <f>"文金婵"</f>
        <v>文金婵</v>
      </c>
      <c r="E195" s="9" t="str">
        <f t="shared" si="24"/>
        <v>女</v>
      </c>
      <c r="F195" s="9" t="str">
        <f>"63992024042519164397595"</f>
        <v>63992024042519164397595</v>
      </c>
      <c r="G195" s="9" t="str">
        <f t="shared" si="23"/>
        <v>0106</v>
      </c>
      <c r="H195" s="9" t="s">
        <v>12</v>
      </c>
      <c r="I195" s="8"/>
    </row>
    <row r="196" spans="1:9" s="2" customFormat="1" ht="30" customHeight="1">
      <c r="A196" s="8">
        <v>194</v>
      </c>
      <c r="B196" s="9" t="s">
        <v>10</v>
      </c>
      <c r="C196" s="9" t="s">
        <v>21</v>
      </c>
      <c r="D196" s="9" t="str">
        <f>"刘晨怡"</f>
        <v>刘晨怡</v>
      </c>
      <c r="E196" s="9" t="str">
        <f t="shared" si="24"/>
        <v>女</v>
      </c>
      <c r="F196" s="9" t="str">
        <f>"639920240426100814109483"</f>
        <v>639920240426100814109483</v>
      </c>
      <c r="G196" s="9" t="str">
        <f t="shared" si="23"/>
        <v>0106</v>
      </c>
      <c r="H196" s="9" t="s">
        <v>12</v>
      </c>
      <c r="I196" s="8"/>
    </row>
    <row r="197" spans="1:9" s="2" customFormat="1" ht="30" customHeight="1">
      <c r="A197" s="8">
        <v>195</v>
      </c>
      <c r="B197" s="9" t="s">
        <v>10</v>
      </c>
      <c r="C197" s="9" t="s">
        <v>21</v>
      </c>
      <c r="D197" s="9" t="str">
        <f>"羊冬盖"</f>
        <v>羊冬盖</v>
      </c>
      <c r="E197" s="9" t="str">
        <f t="shared" si="24"/>
        <v>女</v>
      </c>
      <c r="F197" s="9" t="str">
        <f>"639920240426152635110713"</f>
        <v>639920240426152635110713</v>
      </c>
      <c r="G197" s="9" t="str">
        <f t="shared" si="23"/>
        <v>0106</v>
      </c>
      <c r="H197" s="9" t="s">
        <v>12</v>
      </c>
      <c r="I197" s="8"/>
    </row>
    <row r="198" spans="1:9" s="2" customFormat="1" ht="30" customHeight="1">
      <c r="A198" s="8">
        <v>196</v>
      </c>
      <c r="B198" s="9" t="s">
        <v>10</v>
      </c>
      <c r="C198" s="9" t="s">
        <v>21</v>
      </c>
      <c r="D198" s="9" t="str">
        <f>"黄雨欣"</f>
        <v>黄雨欣</v>
      </c>
      <c r="E198" s="9" t="str">
        <f t="shared" si="24"/>
        <v>女</v>
      </c>
      <c r="F198" s="9" t="str">
        <f>"63992024042111241157082"</f>
        <v>63992024042111241157082</v>
      </c>
      <c r="G198" s="9" t="str">
        <f t="shared" si="23"/>
        <v>0106</v>
      </c>
      <c r="H198" s="9" t="s">
        <v>12</v>
      </c>
      <c r="I198" s="8"/>
    </row>
    <row r="199" spans="1:9" s="2" customFormat="1" ht="30" customHeight="1">
      <c r="A199" s="8">
        <v>197</v>
      </c>
      <c r="B199" s="9" t="s">
        <v>10</v>
      </c>
      <c r="C199" s="9" t="s">
        <v>21</v>
      </c>
      <c r="D199" s="9" t="str">
        <f>"张才欢"</f>
        <v>张才欢</v>
      </c>
      <c r="E199" s="9" t="str">
        <f t="shared" si="24"/>
        <v>女</v>
      </c>
      <c r="F199" s="9" t="str">
        <f>"639920240426212011111525"</f>
        <v>639920240426212011111525</v>
      </c>
      <c r="G199" s="9" t="str">
        <f t="shared" si="23"/>
        <v>0106</v>
      </c>
      <c r="H199" s="9" t="s">
        <v>12</v>
      </c>
      <c r="I199" s="8"/>
    </row>
    <row r="200" spans="1:9" s="2" customFormat="1" ht="30" customHeight="1">
      <c r="A200" s="8">
        <v>198</v>
      </c>
      <c r="B200" s="9" t="s">
        <v>10</v>
      </c>
      <c r="C200" s="9" t="s">
        <v>21</v>
      </c>
      <c r="D200" s="9" t="str">
        <f>"羊玉娥"</f>
        <v>羊玉娥</v>
      </c>
      <c r="E200" s="9" t="str">
        <f t="shared" si="24"/>
        <v>女</v>
      </c>
      <c r="F200" s="9" t="str">
        <f>"639920240426215221111571"</f>
        <v>639920240426215221111571</v>
      </c>
      <c r="G200" s="9" t="str">
        <f t="shared" si="23"/>
        <v>0106</v>
      </c>
      <c r="H200" s="9" t="s">
        <v>12</v>
      </c>
      <c r="I200" s="8"/>
    </row>
    <row r="201" spans="1:9" s="2" customFormat="1" ht="30" customHeight="1">
      <c r="A201" s="8">
        <v>199</v>
      </c>
      <c r="B201" s="9" t="s">
        <v>10</v>
      </c>
      <c r="C201" s="9" t="s">
        <v>21</v>
      </c>
      <c r="D201" s="9" t="str">
        <f>"林小琪"</f>
        <v>林小琪</v>
      </c>
      <c r="E201" s="9" t="str">
        <f t="shared" si="24"/>
        <v>女</v>
      </c>
      <c r="F201" s="9" t="str">
        <f>"639920240426125653110185"</f>
        <v>639920240426125653110185</v>
      </c>
      <c r="G201" s="9" t="str">
        <f t="shared" si="23"/>
        <v>0106</v>
      </c>
      <c r="H201" s="9" t="s">
        <v>12</v>
      </c>
      <c r="I201" s="8"/>
    </row>
    <row r="202" spans="1:9" s="2" customFormat="1" ht="30" customHeight="1">
      <c r="A202" s="8">
        <v>200</v>
      </c>
      <c r="B202" s="9" t="s">
        <v>10</v>
      </c>
      <c r="C202" s="9" t="s">
        <v>21</v>
      </c>
      <c r="D202" s="9" t="str">
        <f>"林乔雨"</f>
        <v>林乔雨</v>
      </c>
      <c r="E202" s="9" t="str">
        <f t="shared" si="24"/>
        <v>女</v>
      </c>
      <c r="F202" s="9" t="str">
        <f>"639920240427140315112772"</f>
        <v>639920240427140315112772</v>
      </c>
      <c r="G202" s="9" t="str">
        <f t="shared" si="23"/>
        <v>0106</v>
      </c>
      <c r="H202" s="9" t="s">
        <v>12</v>
      </c>
      <c r="I202" s="8"/>
    </row>
    <row r="203" spans="1:9" s="2" customFormat="1" ht="30" customHeight="1">
      <c r="A203" s="8">
        <v>201</v>
      </c>
      <c r="B203" s="9" t="s">
        <v>10</v>
      </c>
      <c r="C203" s="9" t="s">
        <v>21</v>
      </c>
      <c r="D203" s="9" t="str">
        <f>"陈秀珠"</f>
        <v>陈秀珠</v>
      </c>
      <c r="E203" s="9" t="str">
        <f t="shared" si="24"/>
        <v>女</v>
      </c>
      <c r="F203" s="9" t="str">
        <f>"639920240427174250113345"</f>
        <v>639920240427174250113345</v>
      </c>
      <c r="G203" s="9" t="str">
        <f t="shared" si="23"/>
        <v>0106</v>
      </c>
      <c r="H203" s="9" t="s">
        <v>12</v>
      </c>
      <c r="I203" s="8"/>
    </row>
    <row r="204" spans="1:9" s="2" customFormat="1" ht="30" customHeight="1">
      <c r="A204" s="8">
        <v>202</v>
      </c>
      <c r="B204" s="9" t="s">
        <v>10</v>
      </c>
      <c r="C204" s="9" t="s">
        <v>21</v>
      </c>
      <c r="D204" s="9" t="str">
        <f>"林雅倩"</f>
        <v>林雅倩</v>
      </c>
      <c r="E204" s="9" t="str">
        <f t="shared" si="24"/>
        <v>女</v>
      </c>
      <c r="F204" s="9" t="str">
        <f>"639920240428232858117303"</f>
        <v>639920240428232858117303</v>
      </c>
      <c r="G204" s="9" t="str">
        <f t="shared" si="23"/>
        <v>0106</v>
      </c>
      <c r="H204" s="9" t="s">
        <v>12</v>
      </c>
      <c r="I204" s="8"/>
    </row>
    <row r="205" spans="1:9" s="2" customFormat="1" ht="30" customHeight="1">
      <c r="A205" s="8">
        <v>203</v>
      </c>
      <c r="B205" s="9" t="s">
        <v>10</v>
      </c>
      <c r="C205" s="9" t="s">
        <v>21</v>
      </c>
      <c r="D205" s="9" t="str">
        <f>"祝育锦"</f>
        <v>祝育锦</v>
      </c>
      <c r="E205" s="9" t="str">
        <f>"男"</f>
        <v>男</v>
      </c>
      <c r="F205" s="9" t="str">
        <f>"639920240429105000118214"</f>
        <v>639920240429105000118214</v>
      </c>
      <c r="G205" s="9" t="str">
        <f t="shared" si="23"/>
        <v>0106</v>
      </c>
      <c r="H205" s="9" t="s">
        <v>12</v>
      </c>
      <c r="I205" s="8"/>
    </row>
    <row r="206" spans="1:9" s="2" customFormat="1" ht="30" customHeight="1">
      <c r="A206" s="8">
        <v>204</v>
      </c>
      <c r="B206" s="9" t="s">
        <v>10</v>
      </c>
      <c r="C206" s="9" t="s">
        <v>21</v>
      </c>
      <c r="D206" s="9" t="str">
        <f>"刘景栋"</f>
        <v>刘景栋</v>
      </c>
      <c r="E206" s="9" t="str">
        <f>"男"</f>
        <v>男</v>
      </c>
      <c r="F206" s="9" t="str">
        <f>"639920240429133404118885"</f>
        <v>639920240429133404118885</v>
      </c>
      <c r="G206" s="9" t="str">
        <f t="shared" si="23"/>
        <v>0106</v>
      </c>
      <c r="H206" s="9" t="s">
        <v>12</v>
      </c>
      <c r="I206" s="8"/>
    </row>
    <row r="207" spans="1:9" s="2" customFormat="1" ht="30" customHeight="1">
      <c r="A207" s="8">
        <v>205</v>
      </c>
      <c r="B207" s="9" t="s">
        <v>10</v>
      </c>
      <c r="C207" s="9" t="s">
        <v>22</v>
      </c>
      <c r="D207" s="9" t="str">
        <f>"邱梦慧"</f>
        <v>邱梦慧</v>
      </c>
      <c r="E207" s="9" t="str">
        <f aca="true" t="shared" si="25" ref="E207:E214">"女"</f>
        <v>女</v>
      </c>
      <c r="F207" s="9" t="str">
        <f>"63992024041917530951601"</f>
        <v>63992024041917530951601</v>
      </c>
      <c r="G207" s="9" t="str">
        <f aca="true" t="shared" si="26" ref="G207:G249">"0107"</f>
        <v>0107</v>
      </c>
      <c r="H207" s="9" t="s">
        <v>12</v>
      </c>
      <c r="I207" s="8"/>
    </row>
    <row r="208" spans="1:9" s="2" customFormat="1" ht="30" customHeight="1">
      <c r="A208" s="8">
        <v>206</v>
      </c>
      <c r="B208" s="9" t="s">
        <v>10</v>
      </c>
      <c r="C208" s="9" t="s">
        <v>22</v>
      </c>
      <c r="D208" s="9" t="str">
        <f>"廖芸菲"</f>
        <v>廖芸菲</v>
      </c>
      <c r="E208" s="9" t="str">
        <f t="shared" si="25"/>
        <v>女</v>
      </c>
      <c r="F208" s="9" t="str">
        <f>"63992024041918194451659"</f>
        <v>63992024041918194451659</v>
      </c>
      <c r="G208" s="9" t="str">
        <f t="shared" si="26"/>
        <v>0107</v>
      </c>
      <c r="H208" s="9" t="s">
        <v>12</v>
      </c>
      <c r="I208" s="8"/>
    </row>
    <row r="209" spans="1:9" s="2" customFormat="1" ht="30" customHeight="1">
      <c r="A209" s="8">
        <v>207</v>
      </c>
      <c r="B209" s="9" t="s">
        <v>10</v>
      </c>
      <c r="C209" s="9" t="s">
        <v>22</v>
      </c>
      <c r="D209" s="9" t="str">
        <f>"潘在娥"</f>
        <v>潘在娥</v>
      </c>
      <c r="E209" s="9" t="str">
        <f t="shared" si="25"/>
        <v>女</v>
      </c>
      <c r="F209" s="9" t="str">
        <f>"63992024042009451652402"</f>
        <v>63992024042009451652402</v>
      </c>
      <c r="G209" s="9" t="str">
        <f t="shared" si="26"/>
        <v>0107</v>
      </c>
      <c r="H209" s="9" t="s">
        <v>12</v>
      </c>
      <c r="I209" s="8"/>
    </row>
    <row r="210" spans="1:9" s="2" customFormat="1" ht="30" customHeight="1">
      <c r="A210" s="8">
        <v>208</v>
      </c>
      <c r="B210" s="9" t="s">
        <v>10</v>
      </c>
      <c r="C210" s="9" t="s">
        <v>22</v>
      </c>
      <c r="D210" s="9" t="str">
        <f>"郑雪荷"</f>
        <v>郑雪荷</v>
      </c>
      <c r="E210" s="9" t="str">
        <f t="shared" si="25"/>
        <v>女</v>
      </c>
      <c r="F210" s="9" t="str">
        <f>"63992024042011012652528"</f>
        <v>63992024042011012652528</v>
      </c>
      <c r="G210" s="9" t="str">
        <f t="shared" si="26"/>
        <v>0107</v>
      </c>
      <c r="H210" s="9" t="s">
        <v>12</v>
      </c>
      <c r="I210" s="8"/>
    </row>
    <row r="211" spans="1:9" s="2" customFormat="1" ht="30" customHeight="1">
      <c r="A211" s="8">
        <v>209</v>
      </c>
      <c r="B211" s="9" t="s">
        <v>10</v>
      </c>
      <c r="C211" s="9" t="s">
        <v>22</v>
      </c>
      <c r="D211" s="9" t="str">
        <f>"王玉"</f>
        <v>王玉</v>
      </c>
      <c r="E211" s="9" t="str">
        <f t="shared" si="25"/>
        <v>女</v>
      </c>
      <c r="F211" s="9" t="str">
        <f>"63992024042012382252647"</f>
        <v>63992024042012382252647</v>
      </c>
      <c r="G211" s="9" t="str">
        <f t="shared" si="26"/>
        <v>0107</v>
      </c>
      <c r="H211" s="9" t="s">
        <v>12</v>
      </c>
      <c r="I211" s="8"/>
    </row>
    <row r="212" spans="1:9" s="2" customFormat="1" ht="30" customHeight="1">
      <c r="A212" s="8">
        <v>210</v>
      </c>
      <c r="B212" s="9" t="s">
        <v>10</v>
      </c>
      <c r="C212" s="9" t="s">
        <v>22</v>
      </c>
      <c r="D212" s="9" t="str">
        <f>"王春姗"</f>
        <v>王春姗</v>
      </c>
      <c r="E212" s="9" t="str">
        <f t="shared" si="25"/>
        <v>女</v>
      </c>
      <c r="F212" s="9" t="str">
        <f>"63992024042013300752706"</f>
        <v>63992024042013300752706</v>
      </c>
      <c r="G212" s="9" t="str">
        <f t="shared" si="26"/>
        <v>0107</v>
      </c>
      <c r="H212" s="9" t="s">
        <v>12</v>
      </c>
      <c r="I212" s="8"/>
    </row>
    <row r="213" spans="1:9" s="2" customFormat="1" ht="30" customHeight="1">
      <c r="A213" s="8">
        <v>211</v>
      </c>
      <c r="B213" s="9" t="s">
        <v>10</v>
      </c>
      <c r="C213" s="9" t="s">
        <v>22</v>
      </c>
      <c r="D213" s="9" t="str">
        <f>"冼李春"</f>
        <v>冼李春</v>
      </c>
      <c r="E213" s="9" t="str">
        <f t="shared" si="25"/>
        <v>女</v>
      </c>
      <c r="F213" s="9" t="str">
        <f>"63992024042015094952853"</f>
        <v>63992024042015094952853</v>
      </c>
      <c r="G213" s="9" t="str">
        <f t="shared" si="26"/>
        <v>0107</v>
      </c>
      <c r="H213" s="9" t="s">
        <v>12</v>
      </c>
      <c r="I213" s="8"/>
    </row>
    <row r="214" spans="1:9" s="2" customFormat="1" ht="30" customHeight="1">
      <c r="A214" s="8">
        <v>212</v>
      </c>
      <c r="B214" s="9" t="s">
        <v>10</v>
      </c>
      <c r="C214" s="9" t="s">
        <v>22</v>
      </c>
      <c r="D214" s="9" t="str">
        <f>"陈绿莺"</f>
        <v>陈绿莺</v>
      </c>
      <c r="E214" s="9" t="str">
        <f t="shared" si="25"/>
        <v>女</v>
      </c>
      <c r="F214" s="9" t="str">
        <f>"63992024042016250352974"</f>
        <v>63992024042016250352974</v>
      </c>
      <c r="G214" s="9" t="str">
        <f t="shared" si="26"/>
        <v>0107</v>
      </c>
      <c r="H214" s="9" t="s">
        <v>12</v>
      </c>
      <c r="I214" s="8"/>
    </row>
    <row r="215" spans="1:9" s="2" customFormat="1" ht="30" customHeight="1">
      <c r="A215" s="8">
        <v>213</v>
      </c>
      <c r="B215" s="9" t="s">
        <v>10</v>
      </c>
      <c r="C215" s="9" t="s">
        <v>22</v>
      </c>
      <c r="D215" s="9" t="str">
        <f>"梁百川"</f>
        <v>梁百川</v>
      </c>
      <c r="E215" s="9" t="str">
        <f>"男"</f>
        <v>男</v>
      </c>
      <c r="F215" s="9" t="str">
        <f>"63992024042017022153028"</f>
        <v>63992024042017022153028</v>
      </c>
      <c r="G215" s="9" t="str">
        <f t="shared" si="26"/>
        <v>0107</v>
      </c>
      <c r="H215" s="9" t="s">
        <v>12</v>
      </c>
      <c r="I215" s="8"/>
    </row>
    <row r="216" spans="1:9" s="2" customFormat="1" ht="30" customHeight="1">
      <c r="A216" s="8">
        <v>214</v>
      </c>
      <c r="B216" s="9" t="s">
        <v>10</v>
      </c>
      <c r="C216" s="9" t="s">
        <v>22</v>
      </c>
      <c r="D216" s="9" t="str">
        <f>"唐茹薇"</f>
        <v>唐茹薇</v>
      </c>
      <c r="E216" s="9" t="str">
        <f aca="true" t="shared" si="27" ref="E216:E221">"女"</f>
        <v>女</v>
      </c>
      <c r="F216" s="9" t="str">
        <f>"63992024042018434053147"</f>
        <v>63992024042018434053147</v>
      </c>
      <c r="G216" s="9" t="str">
        <f t="shared" si="26"/>
        <v>0107</v>
      </c>
      <c r="H216" s="9" t="s">
        <v>12</v>
      </c>
      <c r="I216" s="8"/>
    </row>
    <row r="217" spans="1:9" s="2" customFormat="1" ht="30" customHeight="1">
      <c r="A217" s="8">
        <v>215</v>
      </c>
      <c r="B217" s="9" t="s">
        <v>10</v>
      </c>
      <c r="C217" s="9" t="s">
        <v>22</v>
      </c>
      <c r="D217" s="9" t="str">
        <f>"薛晓笛"</f>
        <v>薛晓笛</v>
      </c>
      <c r="E217" s="9" t="str">
        <f t="shared" si="27"/>
        <v>女</v>
      </c>
      <c r="F217" s="9" t="str">
        <f>"63992024041922010152085"</f>
        <v>63992024041922010152085</v>
      </c>
      <c r="G217" s="9" t="str">
        <f t="shared" si="26"/>
        <v>0107</v>
      </c>
      <c r="H217" s="9" t="s">
        <v>12</v>
      </c>
      <c r="I217" s="8"/>
    </row>
    <row r="218" spans="1:9" s="2" customFormat="1" ht="30" customHeight="1">
      <c r="A218" s="8">
        <v>216</v>
      </c>
      <c r="B218" s="9" t="s">
        <v>10</v>
      </c>
      <c r="C218" s="9" t="s">
        <v>22</v>
      </c>
      <c r="D218" s="9" t="str">
        <f>"胡俊舒"</f>
        <v>胡俊舒</v>
      </c>
      <c r="E218" s="9" t="str">
        <f t="shared" si="27"/>
        <v>女</v>
      </c>
      <c r="F218" s="9" t="str">
        <f>"63992024042113170857267"</f>
        <v>63992024042113170857267</v>
      </c>
      <c r="G218" s="9" t="str">
        <f t="shared" si="26"/>
        <v>0107</v>
      </c>
      <c r="H218" s="9" t="s">
        <v>12</v>
      </c>
      <c r="I218" s="8"/>
    </row>
    <row r="219" spans="1:9" s="2" customFormat="1" ht="30" customHeight="1">
      <c r="A219" s="8">
        <v>217</v>
      </c>
      <c r="B219" s="9" t="s">
        <v>10</v>
      </c>
      <c r="C219" s="9" t="s">
        <v>22</v>
      </c>
      <c r="D219" s="9" t="str">
        <f>"万绪晶"</f>
        <v>万绪晶</v>
      </c>
      <c r="E219" s="9" t="str">
        <f t="shared" si="27"/>
        <v>女</v>
      </c>
      <c r="F219" s="9" t="str">
        <f>"63992024042121014757889"</f>
        <v>63992024042121014757889</v>
      </c>
      <c r="G219" s="9" t="str">
        <f t="shared" si="26"/>
        <v>0107</v>
      </c>
      <c r="H219" s="9" t="s">
        <v>12</v>
      </c>
      <c r="I219" s="8"/>
    </row>
    <row r="220" spans="1:9" s="2" customFormat="1" ht="30" customHeight="1">
      <c r="A220" s="8">
        <v>218</v>
      </c>
      <c r="B220" s="9" t="s">
        <v>10</v>
      </c>
      <c r="C220" s="9" t="s">
        <v>22</v>
      </c>
      <c r="D220" s="9" t="str">
        <f>"陈宝怡"</f>
        <v>陈宝怡</v>
      </c>
      <c r="E220" s="9" t="str">
        <f t="shared" si="27"/>
        <v>女</v>
      </c>
      <c r="F220" s="9" t="str">
        <f>"63992024042212345061317"</f>
        <v>63992024042212345061317</v>
      </c>
      <c r="G220" s="9" t="str">
        <f t="shared" si="26"/>
        <v>0107</v>
      </c>
      <c r="H220" s="9" t="s">
        <v>12</v>
      </c>
      <c r="I220" s="8"/>
    </row>
    <row r="221" spans="1:9" s="2" customFormat="1" ht="30" customHeight="1">
      <c r="A221" s="8">
        <v>219</v>
      </c>
      <c r="B221" s="9" t="s">
        <v>10</v>
      </c>
      <c r="C221" s="9" t="s">
        <v>22</v>
      </c>
      <c r="D221" s="9" t="str">
        <f>"吴挺丽"</f>
        <v>吴挺丽</v>
      </c>
      <c r="E221" s="9" t="str">
        <f t="shared" si="27"/>
        <v>女</v>
      </c>
      <c r="F221" s="9" t="str">
        <f>"63992024042122494458039"</f>
        <v>63992024042122494458039</v>
      </c>
      <c r="G221" s="9" t="str">
        <f t="shared" si="26"/>
        <v>0107</v>
      </c>
      <c r="H221" s="9" t="s">
        <v>12</v>
      </c>
      <c r="I221" s="8"/>
    </row>
    <row r="222" spans="1:9" s="2" customFormat="1" ht="30" customHeight="1">
      <c r="A222" s="8">
        <v>220</v>
      </c>
      <c r="B222" s="9" t="s">
        <v>10</v>
      </c>
      <c r="C222" s="9" t="s">
        <v>22</v>
      </c>
      <c r="D222" s="9" t="str">
        <f>"闫育 龙"</f>
        <v>闫育 龙</v>
      </c>
      <c r="E222" s="9" t="str">
        <f>"男"</f>
        <v>男</v>
      </c>
      <c r="F222" s="9" t="str">
        <f>"63992024042215001062162"</f>
        <v>63992024042215001062162</v>
      </c>
      <c r="G222" s="9" t="str">
        <f t="shared" si="26"/>
        <v>0107</v>
      </c>
      <c r="H222" s="9" t="s">
        <v>12</v>
      </c>
      <c r="I222" s="8"/>
    </row>
    <row r="223" spans="1:9" s="2" customFormat="1" ht="30" customHeight="1">
      <c r="A223" s="8">
        <v>221</v>
      </c>
      <c r="B223" s="9" t="s">
        <v>10</v>
      </c>
      <c r="C223" s="9" t="s">
        <v>22</v>
      </c>
      <c r="D223" s="9" t="str">
        <f>"汤灿"</f>
        <v>汤灿</v>
      </c>
      <c r="E223" s="9" t="str">
        <f>"男"</f>
        <v>男</v>
      </c>
      <c r="F223" s="9" t="str">
        <f>"63992024042215252163380"</f>
        <v>63992024042215252163380</v>
      </c>
      <c r="G223" s="9" t="str">
        <f t="shared" si="26"/>
        <v>0107</v>
      </c>
      <c r="H223" s="9" t="s">
        <v>12</v>
      </c>
      <c r="I223" s="8"/>
    </row>
    <row r="224" spans="1:9" s="2" customFormat="1" ht="39.75" customHeight="1">
      <c r="A224" s="8">
        <v>222</v>
      </c>
      <c r="B224" s="9" t="s">
        <v>10</v>
      </c>
      <c r="C224" s="9" t="s">
        <v>22</v>
      </c>
      <c r="D224" s="9" t="str">
        <f>"张翌琳"</f>
        <v>张翌琳</v>
      </c>
      <c r="E224" s="9" t="str">
        <f aca="true" t="shared" si="28" ref="E224:E231">"女"</f>
        <v>女</v>
      </c>
      <c r="F224" s="9" t="str">
        <f>"63992024042217185666475"</f>
        <v>63992024042217185666475</v>
      </c>
      <c r="G224" s="9" t="str">
        <f t="shared" si="26"/>
        <v>0107</v>
      </c>
      <c r="H224" s="10" t="s">
        <v>15</v>
      </c>
      <c r="I224" s="8"/>
    </row>
    <row r="225" spans="1:9" s="2" customFormat="1" ht="30" customHeight="1">
      <c r="A225" s="8">
        <v>223</v>
      </c>
      <c r="B225" s="9" t="s">
        <v>10</v>
      </c>
      <c r="C225" s="9" t="s">
        <v>22</v>
      </c>
      <c r="D225" s="9" t="str">
        <f>"张春娇"</f>
        <v>张春娇</v>
      </c>
      <c r="E225" s="9" t="str">
        <f t="shared" si="28"/>
        <v>女</v>
      </c>
      <c r="F225" s="9" t="str">
        <f>"63992024042220190867557"</f>
        <v>63992024042220190867557</v>
      </c>
      <c r="G225" s="9" t="str">
        <f t="shared" si="26"/>
        <v>0107</v>
      </c>
      <c r="H225" s="9" t="s">
        <v>12</v>
      </c>
      <c r="I225" s="8"/>
    </row>
    <row r="226" spans="1:9" s="2" customFormat="1" ht="30" customHeight="1">
      <c r="A226" s="8">
        <v>224</v>
      </c>
      <c r="B226" s="9" t="s">
        <v>10</v>
      </c>
      <c r="C226" s="9" t="s">
        <v>22</v>
      </c>
      <c r="D226" s="9" t="str">
        <f>"林涓涓"</f>
        <v>林涓涓</v>
      </c>
      <c r="E226" s="9" t="str">
        <f t="shared" si="28"/>
        <v>女</v>
      </c>
      <c r="F226" s="9" t="str">
        <f>"63992024042300133868574"</f>
        <v>63992024042300133868574</v>
      </c>
      <c r="G226" s="9" t="str">
        <f t="shared" si="26"/>
        <v>0107</v>
      </c>
      <c r="H226" s="9" t="s">
        <v>12</v>
      </c>
      <c r="I226" s="8"/>
    </row>
    <row r="227" spans="1:9" s="2" customFormat="1" ht="30" customHeight="1">
      <c r="A227" s="8">
        <v>225</v>
      </c>
      <c r="B227" s="9" t="s">
        <v>10</v>
      </c>
      <c r="C227" s="9" t="s">
        <v>22</v>
      </c>
      <c r="D227" s="9" t="str">
        <f>"李倩倩"</f>
        <v>李倩倩</v>
      </c>
      <c r="E227" s="9" t="str">
        <f t="shared" si="28"/>
        <v>女</v>
      </c>
      <c r="F227" s="9" t="str">
        <f>"63992024042310332571147"</f>
        <v>63992024042310332571147</v>
      </c>
      <c r="G227" s="9" t="str">
        <f t="shared" si="26"/>
        <v>0107</v>
      </c>
      <c r="H227" s="9" t="s">
        <v>12</v>
      </c>
      <c r="I227" s="8"/>
    </row>
    <row r="228" spans="1:9" s="2" customFormat="1" ht="30" customHeight="1">
      <c r="A228" s="8">
        <v>226</v>
      </c>
      <c r="B228" s="9" t="s">
        <v>10</v>
      </c>
      <c r="C228" s="9" t="s">
        <v>22</v>
      </c>
      <c r="D228" s="9" t="str">
        <f>"周光玥"</f>
        <v>周光玥</v>
      </c>
      <c r="E228" s="9" t="str">
        <f t="shared" si="28"/>
        <v>女</v>
      </c>
      <c r="F228" s="9" t="str">
        <f>"63992024042317143477154"</f>
        <v>63992024042317143477154</v>
      </c>
      <c r="G228" s="9" t="str">
        <f t="shared" si="26"/>
        <v>0107</v>
      </c>
      <c r="H228" s="9" t="s">
        <v>12</v>
      </c>
      <c r="I228" s="8"/>
    </row>
    <row r="229" spans="1:9" s="2" customFormat="1" ht="30" customHeight="1">
      <c r="A229" s="8">
        <v>227</v>
      </c>
      <c r="B229" s="9" t="s">
        <v>10</v>
      </c>
      <c r="C229" s="9" t="s">
        <v>22</v>
      </c>
      <c r="D229" s="9" t="str">
        <f>"张亚鑫"</f>
        <v>张亚鑫</v>
      </c>
      <c r="E229" s="9" t="str">
        <f t="shared" si="28"/>
        <v>女</v>
      </c>
      <c r="F229" s="9" t="str">
        <f>"63992024042111155357063"</f>
        <v>63992024042111155357063</v>
      </c>
      <c r="G229" s="9" t="str">
        <f t="shared" si="26"/>
        <v>0107</v>
      </c>
      <c r="H229" s="9" t="s">
        <v>12</v>
      </c>
      <c r="I229" s="8"/>
    </row>
    <row r="230" spans="1:9" s="2" customFormat="1" ht="30" customHeight="1">
      <c r="A230" s="8">
        <v>228</v>
      </c>
      <c r="B230" s="9" t="s">
        <v>10</v>
      </c>
      <c r="C230" s="9" t="s">
        <v>22</v>
      </c>
      <c r="D230" s="9" t="str">
        <f>"符芷怡"</f>
        <v>符芷怡</v>
      </c>
      <c r="E230" s="9" t="str">
        <f t="shared" si="28"/>
        <v>女</v>
      </c>
      <c r="F230" s="9" t="str">
        <f>"63992024042315223774940"</f>
        <v>63992024042315223774940</v>
      </c>
      <c r="G230" s="9" t="str">
        <f t="shared" si="26"/>
        <v>0107</v>
      </c>
      <c r="H230" s="9" t="s">
        <v>12</v>
      </c>
      <c r="I230" s="8"/>
    </row>
    <row r="231" spans="1:9" s="2" customFormat="1" ht="30" customHeight="1">
      <c r="A231" s="8">
        <v>229</v>
      </c>
      <c r="B231" s="9" t="s">
        <v>10</v>
      </c>
      <c r="C231" s="9" t="s">
        <v>22</v>
      </c>
      <c r="D231" s="9" t="str">
        <f>"杨纯碧"</f>
        <v>杨纯碧</v>
      </c>
      <c r="E231" s="9" t="str">
        <f t="shared" si="28"/>
        <v>女</v>
      </c>
      <c r="F231" s="9" t="str">
        <f>"63992024042509303994050"</f>
        <v>63992024042509303994050</v>
      </c>
      <c r="G231" s="9" t="str">
        <f t="shared" si="26"/>
        <v>0107</v>
      </c>
      <c r="H231" s="9" t="s">
        <v>12</v>
      </c>
      <c r="I231" s="8"/>
    </row>
    <row r="232" spans="1:9" s="2" customFormat="1" ht="39.75" customHeight="1">
      <c r="A232" s="8">
        <v>230</v>
      </c>
      <c r="B232" s="9" t="s">
        <v>10</v>
      </c>
      <c r="C232" s="9" t="s">
        <v>22</v>
      </c>
      <c r="D232" s="9" t="str">
        <f>"黄存绣"</f>
        <v>黄存绣</v>
      </c>
      <c r="E232" s="9" t="str">
        <f>"男"</f>
        <v>男</v>
      </c>
      <c r="F232" s="9" t="str">
        <f>"63992024042401334980304"</f>
        <v>63992024042401334980304</v>
      </c>
      <c r="G232" s="9" t="str">
        <f t="shared" si="26"/>
        <v>0107</v>
      </c>
      <c r="H232" s="10" t="s">
        <v>15</v>
      </c>
      <c r="I232" s="8"/>
    </row>
    <row r="233" spans="1:9" s="2" customFormat="1" ht="30" customHeight="1">
      <c r="A233" s="8">
        <v>231</v>
      </c>
      <c r="B233" s="9" t="s">
        <v>10</v>
      </c>
      <c r="C233" s="9" t="s">
        <v>22</v>
      </c>
      <c r="D233" s="9" t="str">
        <f>"刘翠"</f>
        <v>刘翠</v>
      </c>
      <c r="E233" s="9" t="str">
        <f aca="true" t="shared" si="29" ref="E233:E240">"女"</f>
        <v>女</v>
      </c>
      <c r="F233" s="9" t="str">
        <f>"63992024042314511274574"</f>
        <v>63992024042314511274574</v>
      </c>
      <c r="G233" s="9" t="str">
        <f t="shared" si="26"/>
        <v>0107</v>
      </c>
      <c r="H233" s="9" t="s">
        <v>12</v>
      </c>
      <c r="I233" s="8"/>
    </row>
    <row r="234" spans="1:9" s="2" customFormat="1" ht="30" customHeight="1">
      <c r="A234" s="8">
        <v>232</v>
      </c>
      <c r="B234" s="9" t="s">
        <v>10</v>
      </c>
      <c r="C234" s="9" t="s">
        <v>22</v>
      </c>
      <c r="D234" s="9" t="str">
        <f>"赖正兴"</f>
        <v>赖正兴</v>
      </c>
      <c r="E234" s="9" t="str">
        <f>"男"</f>
        <v>男</v>
      </c>
      <c r="F234" s="9" t="str">
        <f>"63992024042522252298128"</f>
        <v>63992024042522252298128</v>
      </c>
      <c r="G234" s="9" t="str">
        <f t="shared" si="26"/>
        <v>0107</v>
      </c>
      <c r="H234" s="9" t="s">
        <v>12</v>
      </c>
      <c r="I234" s="8"/>
    </row>
    <row r="235" spans="1:9" s="2" customFormat="1" ht="30" customHeight="1">
      <c r="A235" s="8">
        <v>233</v>
      </c>
      <c r="B235" s="9" t="s">
        <v>10</v>
      </c>
      <c r="C235" s="9" t="s">
        <v>22</v>
      </c>
      <c r="D235" s="9" t="str">
        <f>"熊晓宁"</f>
        <v>熊晓宁</v>
      </c>
      <c r="E235" s="9" t="str">
        <f t="shared" si="29"/>
        <v>女</v>
      </c>
      <c r="F235" s="9" t="str">
        <f>"63992024042522530998195"</f>
        <v>63992024042522530998195</v>
      </c>
      <c r="G235" s="9" t="str">
        <f t="shared" si="26"/>
        <v>0107</v>
      </c>
      <c r="H235" s="9" t="s">
        <v>12</v>
      </c>
      <c r="I235" s="8"/>
    </row>
    <row r="236" spans="1:9" s="2" customFormat="1" ht="30" customHeight="1">
      <c r="A236" s="8">
        <v>234</v>
      </c>
      <c r="B236" s="9" t="s">
        <v>10</v>
      </c>
      <c r="C236" s="9" t="s">
        <v>22</v>
      </c>
      <c r="D236" s="9" t="str">
        <f>"朱文静"</f>
        <v>朱文静</v>
      </c>
      <c r="E236" s="9" t="str">
        <f t="shared" si="29"/>
        <v>女</v>
      </c>
      <c r="F236" s="9" t="str">
        <f>"63992024042601043698343"</f>
        <v>63992024042601043698343</v>
      </c>
      <c r="G236" s="9" t="str">
        <f t="shared" si="26"/>
        <v>0107</v>
      </c>
      <c r="H236" s="9" t="s">
        <v>12</v>
      </c>
      <c r="I236" s="8"/>
    </row>
    <row r="237" spans="1:9" s="2" customFormat="1" ht="30" customHeight="1">
      <c r="A237" s="8">
        <v>235</v>
      </c>
      <c r="B237" s="9" t="s">
        <v>10</v>
      </c>
      <c r="C237" s="9" t="s">
        <v>22</v>
      </c>
      <c r="D237" s="9" t="str">
        <f>"符菁菁"</f>
        <v>符菁菁</v>
      </c>
      <c r="E237" s="9" t="str">
        <f t="shared" si="29"/>
        <v>女</v>
      </c>
      <c r="F237" s="9" t="str">
        <f>"63992024042520291697781"</f>
        <v>63992024042520291697781</v>
      </c>
      <c r="G237" s="9" t="str">
        <f t="shared" si="26"/>
        <v>0107</v>
      </c>
      <c r="H237" s="9" t="s">
        <v>12</v>
      </c>
      <c r="I237" s="8"/>
    </row>
    <row r="238" spans="1:9" s="2" customFormat="1" ht="30" customHeight="1">
      <c r="A238" s="8">
        <v>236</v>
      </c>
      <c r="B238" s="9" t="s">
        <v>10</v>
      </c>
      <c r="C238" s="9" t="s">
        <v>22</v>
      </c>
      <c r="D238" s="9" t="str">
        <f>"胡珊珊"</f>
        <v>胡珊珊</v>
      </c>
      <c r="E238" s="9" t="str">
        <f t="shared" si="29"/>
        <v>女</v>
      </c>
      <c r="F238" s="9" t="str">
        <f>"639920240426115027109987"</f>
        <v>639920240426115027109987</v>
      </c>
      <c r="G238" s="9" t="str">
        <f t="shared" si="26"/>
        <v>0107</v>
      </c>
      <c r="H238" s="9" t="s">
        <v>12</v>
      </c>
      <c r="I238" s="8"/>
    </row>
    <row r="239" spans="1:9" s="2" customFormat="1" ht="30" customHeight="1">
      <c r="A239" s="8">
        <v>237</v>
      </c>
      <c r="B239" s="9" t="s">
        <v>10</v>
      </c>
      <c r="C239" s="9" t="s">
        <v>22</v>
      </c>
      <c r="D239" s="9" t="str">
        <f>"符媚"</f>
        <v>符媚</v>
      </c>
      <c r="E239" s="9" t="str">
        <f t="shared" si="29"/>
        <v>女</v>
      </c>
      <c r="F239" s="9" t="str">
        <f>"639920240426154547110806"</f>
        <v>639920240426154547110806</v>
      </c>
      <c r="G239" s="9" t="str">
        <f t="shared" si="26"/>
        <v>0107</v>
      </c>
      <c r="H239" s="9" t="s">
        <v>12</v>
      </c>
      <c r="I239" s="8"/>
    </row>
    <row r="240" spans="1:9" s="2" customFormat="1" ht="30" customHeight="1">
      <c r="A240" s="8">
        <v>238</v>
      </c>
      <c r="B240" s="9" t="s">
        <v>10</v>
      </c>
      <c r="C240" s="9" t="s">
        <v>22</v>
      </c>
      <c r="D240" s="9" t="str">
        <f>"李柔仙"</f>
        <v>李柔仙</v>
      </c>
      <c r="E240" s="9" t="str">
        <f t="shared" si="29"/>
        <v>女</v>
      </c>
      <c r="F240" s="9" t="str">
        <f>"639920240426184040111259"</f>
        <v>639920240426184040111259</v>
      </c>
      <c r="G240" s="9" t="str">
        <f t="shared" si="26"/>
        <v>0107</v>
      </c>
      <c r="H240" s="9" t="s">
        <v>12</v>
      </c>
      <c r="I240" s="8"/>
    </row>
    <row r="241" spans="1:9" s="2" customFormat="1" ht="30" customHeight="1">
      <c r="A241" s="8">
        <v>239</v>
      </c>
      <c r="B241" s="9" t="s">
        <v>10</v>
      </c>
      <c r="C241" s="9" t="s">
        <v>22</v>
      </c>
      <c r="D241" s="9" t="str">
        <f>"吴琼峰"</f>
        <v>吴琼峰</v>
      </c>
      <c r="E241" s="9" t="str">
        <f>"男"</f>
        <v>男</v>
      </c>
      <c r="F241" s="9" t="str">
        <f>"639920240427152124112944"</f>
        <v>639920240427152124112944</v>
      </c>
      <c r="G241" s="9" t="str">
        <f t="shared" si="26"/>
        <v>0107</v>
      </c>
      <c r="H241" s="9" t="s">
        <v>12</v>
      </c>
      <c r="I241" s="8"/>
    </row>
    <row r="242" spans="1:9" s="2" customFormat="1" ht="30" customHeight="1">
      <c r="A242" s="8">
        <v>240</v>
      </c>
      <c r="B242" s="9" t="s">
        <v>10</v>
      </c>
      <c r="C242" s="9" t="s">
        <v>22</v>
      </c>
      <c r="D242" s="9" t="str">
        <f>"钟尊翠"</f>
        <v>钟尊翠</v>
      </c>
      <c r="E242" s="9" t="str">
        <f aca="true" t="shared" si="30" ref="E242:E247">"女"</f>
        <v>女</v>
      </c>
      <c r="F242" s="9" t="str">
        <f>"639920240428085003114295"</f>
        <v>639920240428085003114295</v>
      </c>
      <c r="G242" s="9" t="str">
        <f t="shared" si="26"/>
        <v>0107</v>
      </c>
      <c r="H242" s="9" t="s">
        <v>12</v>
      </c>
      <c r="I242" s="8"/>
    </row>
    <row r="243" spans="1:9" s="2" customFormat="1" ht="30" customHeight="1">
      <c r="A243" s="8">
        <v>241</v>
      </c>
      <c r="B243" s="9" t="s">
        <v>10</v>
      </c>
      <c r="C243" s="9" t="s">
        <v>22</v>
      </c>
      <c r="D243" s="9" t="str">
        <f>"祁嫚腊"</f>
        <v>祁嫚腊</v>
      </c>
      <c r="E243" s="9" t="str">
        <f t="shared" si="30"/>
        <v>女</v>
      </c>
      <c r="F243" s="9" t="str">
        <f>"639920240428130638115588"</f>
        <v>639920240428130638115588</v>
      </c>
      <c r="G243" s="9" t="str">
        <f t="shared" si="26"/>
        <v>0107</v>
      </c>
      <c r="H243" s="9" t="s">
        <v>12</v>
      </c>
      <c r="I243" s="8"/>
    </row>
    <row r="244" spans="1:9" s="2" customFormat="1" ht="30" customHeight="1">
      <c r="A244" s="8">
        <v>242</v>
      </c>
      <c r="B244" s="9" t="s">
        <v>10</v>
      </c>
      <c r="C244" s="9" t="s">
        <v>22</v>
      </c>
      <c r="D244" s="9" t="str">
        <f>"刘呈颖"</f>
        <v>刘呈颖</v>
      </c>
      <c r="E244" s="9" t="str">
        <f t="shared" si="30"/>
        <v>女</v>
      </c>
      <c r="F244" s="9" t="str">
        <f>"639920240428191026116737"</f>
        <v>639920240428191026116737</v>
      </c>
      <c r="G244" s="9" t="str">
        <f t="shared" si="26"/>
        <v>0107</v>
      </c>
      <c r="H244" s="9" t="s">
        <v>12</v>
      </c>
      <c r="I244" s="8"/>
    </row>
    <row r="245" spans="1:9" s="2" customFormat="1" ht="30" customHeight="1">
      <c r="A245" s="8">
        <v>243</v>
      </c>
      <c r="B245" s="9" t="s">
        <v>10</v>
      </c>
      <c r="C245" s="9" t="s">
        <v>22</v>
      </c>
      <c r="D245" s="9" t="str">
        <f>"叶馨洁"</f>
        <v>叶馨洁</v>
      </c>
      <c r="E245" s="9" t="str">
        <f t="shared" si="30"/>
        <v>女</v>
      </c>
      <c r="F245" s="9" t="str">
        <f>"639920240428192607116780"</f>
        <v>639920240428192607116780</v>
      </c>
      <c r="G245" s="9" t="str">
        <f t="shared" si="26"/>
        <v>0107</v>
      </c>
      <c r="H245" s="9" t="s">
        <v>12</v>
      </c>
      <c r="I245" s="8"/>
    </row>
    <row r="246" spans="1:9" s="2" customFormat="1" ht="30" customHeight="1">
      <c r="A246" s="8">
        <v>244</v>
      </c>
      <c r="B246" s="9" t="s">
        <v>10</v>
      </c>
      <c r="C246" s="9" t="s">
        <v>22</v>
      </c>
      <c r="D246" s="9" t="str">
        <f>"陈枫"</f>
        <v>陈枫</v>
      </c>
      <c r="E246" s="9" t="str">
        <f t="shared" si="30"/>
        <v>女</v>
      </c>
      <c r="F246" s="9" t="str">
        <f>"639920240429110805118317"</f>
        <v>639920240429110805118317</v>
      </c>
      <c r="G246" s="9" t="str">
        <f t="shared" si="26"/>
        <v>0107</v>
      </c>
      <c r="H246" s="9" t="s">
        <v>12</v>
      </c>
      <c r="I246" s="8"/>
    </row>
    <row r="247" spans="1:9" s="2" customFormat="1" ht="30" customHeight="1">
      <c r="A247" s="8">
        <v>245</v>
      </c>
      <c r="B247" s="9" t="s">
        <v>10</v>
      </c>
      <c r="C247" s="9" t="s">
        <v>22</v>
      </c>
      <c r="D247" s="9" t="str">
        <f>"高春娇"</f>
        <v>高春娇</v>
      </c>
      <c r="E247" s="9" t="str">
        <f t="shared" si="30"/>
        <v>女</v>
      </c>
      <c r="F247" s="9" t="str">
        <f>"639920240429005403117361"</f>
        <v>639920240429005403117361</v>
      </c>
      <c r="G247" s="9" t="str">
        <f t="shared" si="26"/>
        <v>0107</v>
      </c>
      <c r="H247" s="9" t="s">
        <v>12</v>
      </c>
      <c r="I247" s="8"/>
    </row>
    <row r="248" spans="1:9" s="2" customFormat="1" ht="30" customHeight="1">
      <c r="A248" s="8">
        <v>246</v>
      </c>
      <c r="B248" s="9" t="s">
        <v>10</v>
      </c>
      <c r="C248" s="9" t="s">
        <v>22</v>
      </c>
      <c r="D248" s="9" t="str">
        <f>"吴卓见"</f>
        <v>吴卓见</v>
      </c>
      <c r="E248" s="9" t="str">
        <f>"男"</f>
        <v>男</v>
      </c>
      <c r="F248" s="9" t="str">
        <f>"639920240429153013119377"</f>
        <v>639920240429153013119377</v>
      </c>
      <c r="G248" s="9" t="str">
        <f t="shared" si="26"/>
        <v>0107</v>
      </c>
      <c r="H248" s="9" t="s">
        <v>12</v>
      </c>
      <c r="I248" s="8"/>
    </row>
    <row r="249" spans="1:9" s="2" customFormat="1" ht="30" customHeight="1">
      <c r="A249" s="8">
        <v>247</v>
      </c>
      <c r="B249" s="9" t="s">
        <v>10</v>
      </c>
      <c r="C249" s="9" t="s">
        <v>22</v>
      </c>
      <c r="D249" s="9" t="str">
        <f>"邢淑慧"</f>
        <v>邢淑慧</v>
      </c>
      <c r="E249" s="9" t="str">
        <f aca="true" t="shared" si="31" ref="E249:E270">"女"</f>
        <v>女</v>
      </c>
      <c r="F249" s="9" t="str">
        <f>"639920240429161255119583"</f>
        <v>639920240429161255119583</v>
      </c>
      <c r="G249" s="9" t="str">
        <f t="shared" si="26"/>
        <v>0107</v>
      </c>
      <c r="H249" s="9" t="s">
        <v>12</v>
      </c>
      <c r="I249" s="8"/>
    </row>
    <row r="250" spans="1:9" s="2" customFormat="1" ht="30" customHeight="1">
      <c r="A250" s="8">
        <v>248</v>
      </c>
      <c r="B250" s="9" t="s">
        <v>10</v>
      </c>
      <c r="C250" s="9" t="s">
        <v>23</v>
      </c>
      <c r="D250" s="9" t="str">
        <f>"姚传露"</f>
        <v>姚传露</v>
      </c>
      <c r="E250" s="9" t="str">
        <f>"男"</f>
        <v>男</v>
      </c>
      <c r="F250" s="9" t="str">
        <f>"63992024042020110256470"</f>
        <v>63992024042020110256470</v>
      </c>
      <c r="G250" s="9" t="str">
        <f aca="true" t="shared" si="32" ref="G250:G288">"0108"</f>
        <v>0108</v>
      </c>
      <c r="H250" s="9" t="s">
        <v>12</v>
      </c>
      <c r="I250" s="8"/>
    </row>
    <row r="251" spans="1:9" s="2" customFormat="1" ht="30" customHeight="1">
      <c r="A251" s="8">
        <v>249</v>
      </c>
      <c r="B251" s="9" t="s">
        <v>10</v>
      </c>
      <c r="C251" s="9" t="s">
        <v>23</v>
      </c>
      <c r="D251" s="9" t="str">
        <f>"王英"</f>
        <v>王英</v>
      </c>
      <c r="E251" s="9" t="str">
        <f t="shared" si="31"/>
        <v>女</v>
      </c>
      <c r="F251" s="9" t="str">
        <f>"63992024042021160056574"</f>
        <v>63992024042021160056574</v>
      </c>
      <c r="G251" s="9" t="str">
        <f t="shared" si="32"/>
        <v>0108</v>
      </c>
      <c r="H251" s="9" t="s">
        <v>12</v>
      </c>
      <c r="I251" s="8"/>
    </row>
    <row r="252" spans="1:9" s="2" customFormat="1" ht="30" customHeight="1">
      <c r="A252" s="8">
        <v>250</v>
      </c>
      <c r="B252" s="9" t="s">
        <v>10</v>
      </c>
      <c r="C252" s="9" t="s">
        <v>23</v>
      </c>
      <c r="D252" s="9" t="str">
        <f>"何雯雯"</f>
        <v>何雯雯</v>
      </c>
      <c r="E252" s="9" t="str">
        <f t="shared" si="31"/>
        <v>女</v>
      </c>
      <c r="F252" s="9" t="str">
        <f>"63992024042112461357214"</f>
        <v>63992024042112461357214</v>
      </c>
      <c r="G252" s="9" t="str">
        <f t="shared" si="32"/>
        <v>0108</v>
      </c>
      <c r="H252" s="9" t="s">
        <v>12</v>
      </c>
      <c r="I252" s="8"/>
    </row>
    <row r="253" spans="1:9" s="2" customFormat="1" ht="30" customHeight="1">
      <c r="A253" s="8">
        <v>251</v>
      </c>
      <c r="B253" s="9" t="s">
        <v>10</v>
      </c>
      <c r="C253" s="9" t="s">
        <v>23</v>
      </c>
      <c r="D253" s="9" t="str">
        <f>"符海琳"</f>
        <v>符海琳</v>
      </c>
      <c r="E253" s="9" t="str">
        <f t="shared" si="31"/>
        <v>女</v>
      </c>
      <c r="F253" s="9" t="str">
        <f>"63992024042112581857237"</f>
        <v>63992024042112581857237</v>
      </c>
      <c r="G253" s="9" t="str">
        <f t="shared" si="32"/>
        <v>0108</v>
      </c>
      <c r="H253" s="9" t="s">
        <v>12</v>
      </c>
      <c r="I253" s="8"/>
    </row>
    <row r="254" spans="1:9" s="2" customFormat="1" ht="30" customHeight="1">
      <c r="A254" s="8">
        <v>252</v>
      </c>
      <c r="B254" s="9" t="s">
        <v>10</v>
      </c>
      <c r="C254" s="9" t="s">
        <v>23</v>
      </c>
      <c r="D254" s="9" t="str">
        <f>"劳启芳"</f>
        <v>劳启芳</v>
      </c>
      <c r="E254" s="9" t="str">
        <f t="shared" si="31"/>
        <v>女</v>
      </c>
      <c r="F254" s="9" t="str">
        <f>"63992024042113570257322"</f>
        <v>63992024042113570257322</v>
      </c>
      <c r="G254" s="9" t="str">
        <f t="shared" si="32"/>
        <v>0108</v>
      </c>
      <c r="H254" s="9" t="s">
        <v>12</v>
      </c>
      <c r="I254" s="8"/>
    </row>
    <row r="255" spans="1:9" s="2" customFormat="1" ht="30" customHeight="1">
      <c r="A255" s="8">
        <v>253</v>
      </c>
      <c r="B255" s="9" t="s">
        <v>10</v>
      </c>
      <c r="C255" s="9" t="s">
        <v>23</v>
      </c>
      <c r="D255" s="9" t="str">
        <f>"林菲"</f>
        <v>林菲</v>
      </c>
      <c r="E255" s="9" t="str">
        <f t="shared" si="31"/>
        <v>女</v>
      </c>
      <c r="F255" s="9" t="str">
        <f>"63992024042118073557690"</f>
        <v>63992024042118073557690</v>
      </c>
      <c r="G255" s="9" t="str">
        <f t="shared" si="32"/>
        <v>0108</v>
      </c>
      <c r="H255" s="9" t="s">
        <v>12</v>
      </c>
      <c r="I255" s="8"/>
    </row>
    <row r="256" spans="1:9" s="2" customFormat="1" ht="30" customHeight="1">
      <c r="A256" s="8">
        <v>254</v>
      </c>
      <c r="B256" s="9" t="s">
        <v>10</v>
      </c>
      <c r="C256" s="9" t="s">
        <v>23</v>
      </c>
      <c r="D256" s="9" t="str">
        <f>"黎健柳"</f>
        <v>黎健柳</v>
      </c>
      <c r="E256" s="9" t="str">
        <f t="shared" si="31"/>
        <v>女</v>
      </c>
      <c r="F256" s="9" t="str">
        <f>"63992024042209535159636"</f>
        <v>63992024042209535159636</v>
      </c>
      <c r="G256" s="9" t="str">
        <f t="shared" si="32"/>
        <v>0108</v>
      </c>
      <c r="H256" s="9" t="s">
        <v>12</v>
      </c>
      <c r="I256" s="8"/>
    </row>
    <row r="257" spans="1:9" s="2" customFormat="1" ht="30" customHeight="1">
      <c r="A257" s="8">
        <v>255</v>
      </c>
      <c r="B257" s="9" t="s">
        <v>10</v>
      </c>
      <c r="C257" s="9" t="s">
        <v>23</v>
      </c>
      <c r="D257" s="9" t="str">
        <f>"庞小慧"</f>
        <v>庞小慧</v>
      </c>
      <c r="E257" s="9" t="str">
        <f t="shared" si="31"/>
        <v>女</v>
      </c>
      <c r="F257" s="9" t="str">
        <f>"63992024042210355860150"</f>
        <v>63992024042210355860150</v>
      </c>
      <c r="G257" s="9" t="str">
        <f t="shared" si="32"/>
        <v>0108</v>
      </c>
      <c r="H257" s="9" t="s">
        <v>12</v>
      </c>
      <c r="I257" s="8"/>
    </row>
    <row r="258" spans="1:9" s="2" customFormat="1" ht="30" customHeight="1">
      <c r="A258" s="8">
        <v>256</v>
      </c>
      <c r="B258" s="9" t="s">
        <v>10</v>
      </c>
      <c r="C258" s="9" t="s">
        <v>23</v>
      </c>
      <c r="D258" s="9" t="str">
        <f>"李向雪"</f>
        <v>李向雪</v>
      </c>
      <c r="E258" s="9" t="str">
        <f t="shared" si="31"/>
        <v>女</v>
      </c>
      <c r="F258" s="9" t="str">
        <f>"63992024042122484958038"</f>
        <v>63992024042122484958038</v>
      </c>
      <c r="G258" s="9" t="str">
        <f t="shared" si="32"/>
        <v>0108</v>
      </c>
      <c r="H258" s="9" t="s">
        <v>12</v>
      </c>
      <c r="I258" s="8"/>
    </row>
    <row r="259" spans="1:9" s="2" customFormat="1" ht="30" customHeight="1">
      <c r="A259" s="8">
        <v>257</v>
      </c>
      <c r="B259" s="9" t="s">
        <v>10</v>
      </c>
      <c r="C259" s="9" t="s">
        <v>23</v>
      </c>
      <c r="D259" s="9" t="str">
        <f>"羊淑燕"</f>
        <v>羊淑燕</v>
      </c>
      <c r="E259" s="9" t="str">
        <f t="shared" si="31"/>
        <v>女</v>
      </c>
      <c r="F259" s="9" t="str">
        <f>"63992024042216525166258"</f>
        <v>63992024042216525166258</v>
      </c>
      <c r="G259" s="9" t="str">
        <f t="shared" si="32"/>
        <v>0108</v>
      </c>
      <c r="H259" s="9" t="s">
        <v>12</v>
      </c>
      <c r="I259" s="8"/>
    </row>
    <row r="260" spans="1:9" s="2" customFormat="1" ht="30" customHeight="1">
      <c r="A260" s="8">
        <v>258</v>
      </c>
      <c r="B260" s="9" t="s">
        <v>10</v>
      </c>
      <c r="C260" s="9" t="s">
        <v>23</v>
      </c>
      <c r="D260" s="9" t="str">
        <f>"羊凌霜"</f>
        <v>羊凌霜</v>
      </c>
      <c r="E260" s="9" t="str">
        <f t="shared" si="31"/>
        <v>女</v>
      </c>
      <c r="F260" s="9" t="str">
        <f>"63992024042309154469502"</f>
        <v>63992024042309154469502</v>
      </c>
      <c r="G260" s="9" t="str">
        <f t="shared" si="32"/>
        <v>0108</v>
      </c>
      <c r="H260" s="9" t="s">
        <v>12</v>
      </c>
      <c r="I260" s="8"/>
    </row>
    <row r="261" spans="1:9" s="2" customFormat="1" ht="30" customHeight="1">
      <c r="A261" s="8">
        <v>259</v>
      </c>
      <c r="B261" s="9" t="s">
        <v>10</v>
      </c>
      <c r="C261" s="9" t="s">
        <v>23</v>
      </c>
      <c r="D261" s="9" t="str">
        <f>"刘佳佳"</f>
        <v>刘佳佳</v>
      </c>
      <c r="E261" s="9" t="str">
        <f t="shared" si="31"/>
        <v>女</v>
      </c>
      <c r="F261" s="9" t="str">
        <f>"63992024042310121970532"</f>
        <v>63992024042310121970532</v>
      </c>
      <c r="G261" s="9" t="str">
        <f t="shared" si="32"/>
        <v>0108</v>
      </c>
      <c r="H261" s="9" t="s">
        <v>12</v>
      </c>
      <c r="I261" s="8"/>
    </row>
    <row r="262" spans="1:9" s="2" customFormat="1" ht="30" customHeight="1">
      <c r="A262" s="8">
        <v>260</v>
      </c>
      <c r="B262" s="9" t="s">
        <v>10</v>
      </c>
      <c r="C262" s="9" t="s">
        <v>23</v>
      </c>
      <c r="D262" s="9" t="str">
        <f>"罗伟珍"</f>
        <v>罗伟珍</v>
      </c>
      <c r="E262" s="9" t="str">
        <f t="shared" si="31"/>
        <v>女</v>
      </c>
      <c r="F262" s="9" t="str">
        <f>"63992024042316411575850"</f>
        <v>63992024042316411575850</v>
      </c>
      <c r="G262" s="9" t="str">
        <f t="shared" si="32"/>
        <v>0108</v>
      </c>
      <c r="H262" s="9" t="s">
        <v>12</v>
      </c>
      <c r="I262" s="8"/>
    </row>
    <row r="263" spans="1:9" s="2" customFormat="1" ht="30" customHeight="1">
      <c r="A263" s="8">
        <v>261</v>
      </c>
      <c r="B263" s="9" t="s">
        <v>10</v>
      </c>
      <c r="C263" s="9" t="s">
        <v>23</v>
      </c>
      <c r="D263" s="9" t="str">
        <f>"黄雅妮"</f>
        <v>黄雅妮</v>
      </c>
      <c r="E263" s="9" t="str">
        <f t="shared" si="31"/>
        <v>女</v>
      </c>
      <c r="F263" s="9" t="str">
        <f>"63992024042323201879996"</f>
        <v>63992024042323201879996</v>
      </c>
      <c r="G263" s="9" t="str">
        <f t="shared" si="32"/>
        <v>0108</v>
      </c>
      <c r="H263" s="9" t="s">
        <v>12</v>
      </c>
      <c r="I263" s="8"/>
    </row>
    <row r="264" spans="1:9" s="2" customFormat="1" ht="30" customHeight="1">
      <c r="A264" s="8">
        <v>262</v>
      </c>
      <c r="B264" s="9" t="s">
        <v>10</v>
      </c>
      <c r="C264" s="9" t="s">
        <v>23</v>
      </c>
      <c r="D264" s="9" t="str">
        <f>"刘建芳"</f>
        <v>刘建芳</v>
      </c>
      <c r="E264" s="9" t="str">
        <f t="shared" si="31"/>
        <v>女</v>
      </c>
      <c r="F264" s="9" t="str">
        <f>"63992024042400051780188"</f>
        <v>63992024042400051780188</v>
      </c>
      <c r="G264" s="9" t="str">
        <f t="shared" si="32"/>
        <v>0108</v>
      </c>
      <c r="H264" s="9" t="s">
        <v>12</v>
      </c>
      <c r="I264" s="8"/>
    </row>
    <row r="265" spans="1:9" s="2" customFormat="1" ht="30" customHeight="1">
      <c r="A265" s="8">
        <v>263</v>
      </c>
      <c r="B265" s="9" t="s">
        <v>10</v>
      </c>
      <c r="C265" s="9" t="s">
        <v>23</v>
      </c>
      <c r="D265" s="9" t="str">
        <f>"王秋"</f>
        <v>王秋</v>
      </c>
      <c r="E265" s="9" t="str">
        <f t="shared" si="31"/>
        <v>女</v>
      </c>
      <c r="F265" s="9" t="str">
        <f>"63992024042323555380153"</f>
        <v>63992024042323555380153</v>
      </c>
      <c r="G265" s="9" t="str">
        <f t="shared" si="32"/>
        <v>0108</v>
      </c>
      <c r="H265" s="9" t="s">
        <v>12</v>
      </c>
      <c r="I265" s="8"/>
    </row>
    <row r="266" spans="1:9" s="2" customFormat="1" ht="30" customHeight="1">
      <c r="A266" s="8">
        <v>264</v>
      </c>
      <c r="B266" s="9" t="s">
        <v>10</v>
      </c>
      <c r="C266" s="9" t="s">
        <v>23</v>
      </c>
      <c r="D266" s="9" t="str">
        <f>"明玉玲"</f>
        <v>明玉玲</v>
      </c>
      <c r="E266" s="9" t="str">
        <f t="shared" si="31"/>
        <v>女</v>
      </c>
      <c r="F266" s="9" t="str">
        <f>"63992024042416164890612"</f>
        <v>63992024042416164890612</v>
      </c>
      <c r="G266" s="9" t="str">
        <f t="shared" si="32"/>
        <v>0108</v>
      </c>
      <c r="H266" s="9" t="s">
        <v>12</v>
      </c>
      <c r="I266" s="8"/>
    </row>
    <row r="267" spans="1:9" s="2" customFormat="1" ht="30" customHeight="1">
      <c r="A267" s="8">
        <v>265</v>
      </c>
      <c r="B267" s="9" t="s">
        <v>10</v>
      </c>
      <c r="C267" s="9" t="s">
        <v>23</v>
      </c>
      <c r="D267" s="9" t="str">
        <f>"刘莲妹"</f>
        <v>刘莲妹</v>
      </c>
      <c r="E267" s="9" t="str">
        <f t="shared" si="31"/>
        <v>女</v>
      </c>
      <c r="F267" s="9" t="str">
        <f>"63992024042418113991878"</f>
        <v>63992024042418113991878</v>
      </c>
      <c r="G267" s="9" t="str">
        <f t="shared" si="32"/>
        <v>0108</v>
      </c>
      <c r="H267" s="9" t="s">
        <v>12</v>
      </c>
      <c r="I267" s="8"/>
    </row>
    <row r="268" spans="1:9" s="2" customFormat="1" ht="30" customHeight="1">
      <c r="A268" s="8">
        <v>266</v>
      </c>
      <c r="B268" s="9" t="s">
        <v>10</v>
      </c>
      <c r="C268" s="9" t="s">
        <v>23</v>
      </c>
      <c r="D268" s="9" t="str">
        <f>"王琼雪"</f>
        <v>王琼雪</v>
      </c>
      <c r="E268" s="9" t="str">
        <f t="shared" si="31"/>
        <v>女</v>
      </c>
      <c r="F268" s="9" t="str">
        <f>"63992024042420375292495"</f>
        <v>63992024042420375292495</v>
      </c>
      <c r="G268" s="9" t="str">
        <f t="shared" si="32"/>
        <v>0108</v>
      </c>
      <c r="H268" s="9" t="s">
        <v>12</v>
      </c>
      <c r="I268" s="8"/>
    </row>
    <row r="269" spans="1:9" s="2" customFormat="1" ht="30" customHeight="1">
      <c r="A269" s="8">
        <v>267</v>
      </c>
      <c r="B269" s="9" t="s">
        <v>10</v>
      </c>
      <c r="C269" s="9" t="s">
        <v>23</v>
      </c>
      <c r="D269" s="9" t="str">
        <f>"黎艳"</f>
        <v>黎艳</v>
      </c>
      <c r="E269" s="9" t="str">
        <f t="shared" si="31"/>
        <v>女</v>
      </c>
      <c r="F269" s="9" t="str">
        <f>"63992024042422274693064"</f>
        <v>63992024042422274693064</v>
      </c>
      <c r="G269" s="9" t="str">
        <f t="shared" si="32"/>
        <v>0108</v>
      </c>
      <c r="H269" s="9" t="s">
        <v>12</v>
      </c>
      <c r="I269" s="8"/>
    </row>
    <row r="270" spans="1:9" s="2" customFormat="1" ht="30" customHeight="1">
      <c r="A270" s="8">
        <v>268</v>
      </c>
      <c r="B270" s="9" t="s">
        <v>10</v>
      </c>
      <c r="C270" s="9" t="s">
        <v>23</v>
      </c>
      <c r="D270" s="9" t="str">
        <f>"林书梅"</f>
        <v>林书梅</v>
      </c>
      <c r="E270" s="9" t="str">
        <f t="shared" si="31"/>
        <v>女</v>
      </c>
      <c r="F270" s="9" t="str">
        <f>"63992024042422503093163"</f>
        <v>63992024042422503093163</v>
      </c>
      <c r="G270" s="9" t="str">
        <f t="shared" si="32"/>
        <v>0108</v>
      </c>
      <c r="H270" s="9" t="s">
        <v>12</v>
      </c>
      <c r="I270" s="8"/>
    </row>
    <row r="271" spans="1:9" s="2" customFormat="1" ht="30" customHeight="1">
      <c r="A271" s="8">
        <v>269</v>
      </c>
      <c r="B271" s="9" t="s">
        <v>10</v>
      </c>
      <c r="C271" s="9" t="s">
        <v>23</v>
      </c>
      <c r="D271" s="9" t="str">
        <f>"刘慧仲"</f>
        <v>刘慧仲</v>
      </c>
      <c r="E271" s="9" t="str">
        <f>"男"</f>
        <v>男</v>
      </c>
      <c r="F271" s="9" t="str">
        <f>"63992024042423142093256"</f>
        <v>63992024042423142093256</v>
      </c>
      <c r="G271" s="9" t="str">
        <f t="shared" si="32"/>
        <v>0108</v>
      </c>
      <c r="H271" s="9" t="s">
        <v>12</v>
      </c>
      <c r="I271" s="8"/>
    </row>
    <row r="272" spans="1:9" s="2" customFormat="1" ht="30" customHeight="1">
      <c r="A272" s="8">
        <v>270</v>
      </c>
      <c r="B272" s="9" t="s">
        <v>10</v>
      </c>
      <c r="C272" s="9" t="s">
        <v>23</v>
      </c>
      <c r="D272" s="9" t="str">
        <f>"王凯奇"</f>
        <v>王凯奇</v>
      </c>
      <c r="E272" s="9" t="str">
        <f aca="true" t="shared" si="33" ref="E272:E276">"女"</f>
        <v>女</v>
      </c>
      <c r="F272" s="9" t="str">
        <f>"63992024042509241594004"</f>
        <v>63992024042509241594004</v>
      </c>
      <c r="G272" s="9" t="str">
        <f t="shared" si="32"/>
        <v>0108</v>
      </c>
      <c r="H272" s="9" t="s">
        <v>12</v>
      </c>
      <c r="I272" s="8"/>
    </row>
    <row r="273" spans="1:9" s="2" customFormat="1" ht="30" customHeight="1">
      <c r="A273" s="8">
        <v>271</v>
      </c>
      <c r="B273" s="9" t="s">
        <v>10</v>
      </c>
      <c r="C273" s="9" t="s">
        <v>23</v>
      </c>
      <c r="D273" s="9" t="str">
        <f>"马莹莹"</f>
        <v>马莹莹</v>
      </c>
      <c r="E273" s="9" t="str">
        <f t="shared" si="33"/>
        <v>女</v>
      </c>
      <c r="F273" s="9" t="str">
        <f>"63992024042523175498248"</f>
        <v>63992024042523175498248</v>
      </c>
      <c r="G273" s="9" t="str">
        <f t="shared" si="32"/>
        <v>0108</v>
      </c>
      <c r="H273" s="9" t="s">
        <v>12</v>
      </c>
      <c r="I273" s="8"/>
    </row>
    <row r="274" spans="1:9" s="2" customFormat="1" ht="30" customHeight="1">
      <c r="A274" s="8">
        <v>272</v>
      </c>
      <c r="B274" s="9" t="s">
        <v>10</v>
      </c>
      <c r="C274" s="9" t="s">
        <v>23</v>
      </c>
      <c r="D274" s="9" t="str">
        <f>"罗蓉慧"</f>
        <v>罗蓉慧</v>
      </c>
      <c r="E274" s="9" t="str">
        <f t="shared" si="33"/>
        <v>女</v>
      </c>
      <c r="F274" s="9" t="str">
        <f>"63992024042606252398376"</f>
        <v>63992024042606252398376</v>
      </c>
      <c r="G274" s="9" t="str">
        <f t="shared" si="32"/>
        <v>0108</v>
      </c>
      <c r="H274" s="9" t="s">
        <v>12</v>
      </c>
      <c r="I274" s="8"/>
    </row>
    <row r="275" spans="1:9" s="2" customFormat="1" ht="30" customHeight="1">
      <c r="A275" s="8">
        <v>273</v>
      </c>
      <c r="B275" s="9" t="s">
        <v>10</v>
      </c>
      <c r="C275" s="9" t="s">
        <v>23</v>
      </c>
      <c r="D275" s="9" t="str">
        <f>"谭瑶瑶"</f>
        <v>谭瑶瑶</v>
      </c>
      <c r="E275" s="9" t="str">
        <f t="shared" si="33"/>
        <v>女</v>
      </c>
      <c r="F275" s="9" t="str">
        <f>"639920240426085044109070"</f>
        <v>639920240426085044109070</v>
      </c>
      <c r="G275" s="9" t="str">
        <f t="shared" si="32"/>
        <v>0108</v>
      </c>
      <c r="H275" s="9" t="s">
        <v>12</v>
      </c>
      <c r="I275" s="8"/>
    </row>
    <row r="276" spans="1:9" s="2" customFormat="1" ht="30" customHeight="1">
      <c r="A276" s="8">
        <v>274</v>
      </c>
      <c r="B276" s="9" t="s">
        <v>10</v>
      </c>
      <c r="C276" s="9" t="s">
        <v>23</v>
      </c>
      <c r="D276" s="9" t="str">
        <f>"朱阿瑶"</f>
        <v>朱阿瑶</v>
      </c>
      <c r="E276" s="9" t="str">
        <f t="shared" si="33"/>
        <v>女</v>
      </c>
      <c r="F276" s="9" t="str">
        <f>"63992024042218143366854"</f>
        <v>63992024042218143366854</v>
      </c>
      <c r="G276" s="9" t="str">
        <f t="shared" si="32"/>
        <v>0108</v>
      </c>
      <c r="H276" s="9" t="s">
        <v>12</v>
      </c>
      <c r="I276" s="8"/>
    </row>
    <row r="277" spans="1:9" s="2" customFormat="1" ht="30" customHeight="1">
      <c r="A277" s="8">
        <v>275</v>
      </c>
      <c r="B277" s="9" t="s">
        <v>10</v>
      </c>
      <c r="C277" s="9" t="s">
        <v>23</v>
      </c>
      <c r="D277" s="9" t="str">
        <f>"王轩逸"</f>
        <v>王轩逸</v>
      </c>
      <c r="E277" s="9" t="str">
        <f>"男"</f>
        <v>男</v>
      </c>
      <c r="F277" s="9" t="str">
        <f>"639920240426174512111159"</f>
        <v>639920240426174512111159</v>
      </c>
      <c r="G277" s="9" t="str">
        <f t="shared" si="32"/>
        <v>0108</v>
      </c>
      <c r="H277" s="9" t="s">
        <v>12</v>
      </c>
      <c r="I277" s="8"/>
    </row>
    <row r="278" spans="1:9" s="2" customFormat="1" ht="30" customHeight="1">
      <c r="A278" s="8">
        <v>276</v>
      </c>
      <c r="B278" s="9" t="s">
        <v>10</v>
      </c>
      <c r="C278" s="9" t="s">
        <v>23</v>
      </c>
      <c r="D278" s="9" t="str">
        <f>"潘玉华"</f>
        <v>潘玉华</v>
      </c>
      <c r="E278" s="9" t="str">
        <f aca="true" t="shared" si="34" ref="E278:E282">"女"</f>
        <v>女</v>
      </c>
      <c r="F278" s="9" t="str">
        <f>"639920240427120725112512"</f>
        <v>639920240427120725112512</v>
      </c>
      <c r="G278" s="9" t="str">
        <f t="shared" si="32"/>
        <v>0108</v>
      </c>
      <c r="H278" s="9" t="s">
        <v>12</v>
      </c>
      <c r="I278" s="8"/>
    </row>
    <row r="279" spans="1:9" s="2" customFormat="1" ht="30" customHeight="1">
      <c r="A279" s="8">
        <v>277</v>
      </c>
      <c r="B279" s="9" t="s">
        <v>10</v>
      </c>
      <c r="C279" s="9" t="s">
        <v>23</v>
      </c>
      <c r="D279" s="9" t="str">
        <f>"羊喜妹"</f>
        <v>羊喜妹</v>
      </c>
      <c r="E279" s="9" t="str">
        <f t="shared" si="34"/>
        <v>女</v>
      </c>
      <c r="F279" s="9" t="str">
        <f>"639920240428165328116396"</f>
        <v>639920240428165328116396</v>
      </c>
      <c r="G279" s="9" t="str">
        <f t="shared" si="32"/>
        <v>0108</v>
      </c>
      <c r="H279" s="9" t="s">
        <v>12</v>
      </c>
      <c r="I279" s="8"/>
    </row>
    <row r="280" spans="1:9" s="2" customFormat="1" ht="30" customHeight="1">
      <c r="A280" s="8">
        <v>278</v>
      </c>
      <c r="B280" s="9" t="s">
        <v>10</v>
      </c>
      <c r="C280" s="9" t="s">
        <v>23</v>
      </c>
      <c r="D280" s="9" t="str">
        <f>"劳健妍"</f>
        <v>劳健妍</v>
      </c>
      <c r="E280" s="9" t="str">
        <f t="shared" si="34"/>
        <v>女</v>
      </c>
      <c r="F280" s="9" t="str">
        <f>"63992024042322145479542"</f>
        <v>63992024042322145479542</v>
      </c>
      <c r="G280" s="9" t="str">
        <f t="shared" si="32"/>
        <v>0108</v>
      </c>
      <c r="H280" s="9" t="s">
        <v>12</v>
      </c>
      <c r="I280" s="8"/>
    </row>
    <row r="281" spans="1:9" s="2" customFormat="1" ht="30" customHeight="1">
      <c r="A281" s="8">
        <v>279</v>
      </c>
      <c r="B281" s="9" t="s">
        <v>10</v>
      </c>
      <c r="C281" s="9" t="s">
        <v>23</v>
      </c>
      <c r="D281" s="9" t="str">
        <f>"邱星鑫"</f>
        <v>邱星鑫</v>
      </c>
      <c r="E281" s="9" t="str">
        <f t="shared" si="34"/>
        <v>女</v>
      </c>
      <c r="F281" s="9" t="str">
        <f>"63992024042217251466527"</f>
        <v>63992024042217251466527</v>
      </c>
      <c r="G281" s="9" t="str">
        <f t="shared" si="32"/>
        <v>0108</v>
      </c>
      <c r="H281" s="9" t="s">
        <v>12</v>
      </c>
      <c r="I281" s="8"/>
    </row>
    <row r="282" spans="1:9" s="2" customFormat="1" ht="39.75" customHeight="1">
      <c r="A282" s="8">
        <v>280</v>
      </c>
      <c r="B282" s="9" t="s">
        <v>10</v>
      </c>
      <c r="C282" s="9" t="s">
        <v>23</v>
      </c>
      <c r="D282" s="9" t="str">
        <f>"王国英"</f>
        <v>王国英</v>
      </c>
      <c r="E282" s="9" t="str">
        <f t="shared" si="34"/>
        <v>女</v>
      </c>
      <c r="F282" s="9" t="str">
        <f>"639920240429085039117530"</f>
        <v>639920240429085039117530</v>
      </c>
      <c r="G282" s="9" t="str">
        <f t="shared" si="32"/>
        <v>0108</v>
      </c>
      <c r="H282" s="10" t="s">
        <v>15</v>
      </c>
      <c r="I282" s="8"/>
    </row>
    <row r="283" spans="1:9" s="2" customFormat="1" ht="30" customHeight="1">
      <c r="A283" s="8">
        <v>281</v>
      </c>
      <c r="B283" s="9" t="s">
        <v>10</v>
      </c>
      <c r="C283" s="9" t="s">
        <v>23</v>
      </c>
      <c r="D283" s="9" t="str">
        <f>"杨晨"</f>
        <v>杨晨</v>
      </c>
      <c r="E283" s="9" t="str">
        <f aca="true" t="shared" si="35" ref="E283:E288">"男"</f>
        <v>男</v>
      </c>
      <c r="F283" s="9" t="str">
        <f>"639920240429114911118536"</f>
        <v>639920240429114911118536</v>
      </c>
      <c r="G283" s="9" t="str">
        <f t="shared" si="32"/>
        <v>0108</v>
      </c>
      <c r="H283" s="9" t="s">
        <v>12</v>
      </c>
      <c r="I283" s="8"/>
    </row>
    <row r="284" spans="1:9" s="2" customFormat="1" ht="30" customHeight="1">
      <c r="A284" s="8">
        <v>282</v>
      </c>
      <c r="B284" s="9" t="s">
        <v>10</v>
      </c>
      <c r="C284" s="9" t="s">
        <v>23</v>
      </c>
      <c r="D284" s="9" t="str">
        <f>"龙梦罗琦"</f>
        <v>龙梦罗琦</v>
      </c>
      <c r="E284" s="9" t="str">
        <f aca="true" t="shared" si="36" ref="E284:E287">"女"</f>
        <v>女</v>
      </c>
      <c r="F284" s="9" t="str">
        <f>"639920240429133049118879"</f>
        <v>639920240429133049118879</v>
      </c>
      <c r="G284" s="9" t="str">
        <f t="shared" si="32"/>
        <v>0108</v>
      </c>
      <c r="H284" s="9" t="s">
        <v>12</v>
      </c>
      <c r="I284" s="8"/>
    </row>
    <row r="285" spans="1:9" s="2" customFormat="1" ht="30" customHeight="1">
      <c r="A285" s="8">
        <v>283</v>
      </c>
      <c r="B285" s="9" t="s">
        <v>10</v>
      </c>
      <c r="C285" s="9" t="s">
        <v>23</v>
      </c>
      <c r="D285" s="9" t="str">
        <f>"羊学州"</f>
        <v>羊学州</v>
      </c>
      <c r="E285" s="9" t="str">
        <f t="shared" si="35"/>
        <v>男</v>
      </c>
      <c r="F285" s="9" t="str">
        <f>"639920240429140355118968"</f>
        <v>639920240429140355118968</v>
      </c>
      <c r="G285" s="9" t="str">
        <f t="shared" si="32"/>
        <v>0108</v>
      </c>
      <c r="H285" s="9" t="s">
        <v>12</v>
      </c>
      <c r="I285" s="8"/>
    </row>
    <row r="286" spans="1:9" s="2" customFormat="1" ht="30" customHeight="1">
      <c r="A286" s="8">
        <v>284</v>
      </c>
      <c r="B286" s="9" t="s">
        <v>10</v>
      </c>
      <c r="C286" s="9" t="s">
        <v>23</v>
      </c>
      <c r="D286" s="9" t="str">
        <f>"卓欣欣"</f>
        <v>卓欣欣</v>
      </c>
      <c r="E286" s="9" t="str">
        <f t="shared" si="36"/>
        <v>女</v>
      </c>
      <c r="F286" s="9" t="str">
        <f>"639920240429150248119223"</f>
        <v>639920240429150248119223</v>
      </c>
      <c r="G286" s="9" t="str">
        <f t="shared" si="32"/>
        <v>0108</v>
      </c>
      <c r="H286" s="9" t="s">
        <v>12</v>
      </c>
      <c r="I286" s="8"/>
    </row>
    <row r="287" spans="1:9" s="2" customFormat="1" ht="30" customHeight="1">
      <c r="A287" s="8">
        <v>285</v>
      </c>
      <c r="B287" s="9" t="s">
        <v>10</v>
      </c>
      <c r="C287" s="9" t="s">
        <v>23</v>
      </c>
      <c r="D287" s="9" t="str">
        <f>"黎少莲"</f>
        <v>黎少莲</v>
      </c>
      <c r="E287" s="9" t="str">
        <f t="shared" si="36"/>
        <v>女</v>
      </c>
      <c r="F287" s="9" t="str">
        <f>"639920240429152954119374"</f>
        <v>639920240429152954119374</v>
      </c>
      <c r="G287" s="9" t="str">
        <f t="shared" si="32"/>
        <v>0108</v>
      </c>
      <c r="H287" s="9" t="s">
        <v>12</v>
      </c>
      <c r="I287" s="8"/>
    </row>
    <row r="288" spans="1:9" s="2" customFormat="1" ht="30" customHeight="1">
      <c r="A288" s="8">
        <v>286</v>
      </c>
      <c r="B288" s="9" t="s">
        <v>10</v>
      </c>
      <c r="C288" s="9" t="s">
        <v>23</v>
      </c>
      <c r="D288" s="9" t="str">
        <f>"李学伟"</f>
        <v>李学伟</v>
      </c>
      <c r="E288" s="9" t="str">
        <f t="shared" si="35"/>
        <v>男</v>
      </c>
      <c r="F288" s="9" t="str">
        <f>"639920240429164246119698"</f>
        <v>639920240429164246119698</v>
      </c>
      <c r="G288" s="9" t="str">
        <f t="shared" si="32"/>
        <v>0108</v>
      </c>
      <c r="H288" s="9" t="s">
        <v>12</v>
      </c>
      <c r="I288" s="8"/>
    </row>
    <row r="289" spans="1:9" s="2" customFormat="1" ht="30" customHeight="1">
      <c r="A289" s="8">
        <v>287</v>
      </c>
      <c r="B289" s="9" t="s">
        <v>24</v>
      </c>
      <c r="C289" s="9" t="s">
        <v>11</v>
      </c>
      <c r="D289" s="9" t="str">
        <f>"吴冬琴"</f>
        <v>吴冬琴</v>
      </c>
      <c r="E289" s="9" t="str">
        <f aca="true" t="shared" si="37" ref="E289:E291">"女"</f>
        <v>女</v>
      </c>
      <c r="F289" s="9" t="str">
        <f>"63992024041917144051510"</f>
        <v>63992024041917144051510</v>
      </c>
      <c r="G289" s="9" t="str">
        <f aca="true" t="shared" si="38" ref="G289:G352">"0201"</f>
        <v>0201</v>
      </c>
      <c r="H289" s="9" t="s">
        <v>12</v>
      </c>
      <c r="I289" s="8"/>
    </row>
    <row r="290" spans="1:9" s="2" customFormat="1" ht="30" customHeight="1">
      <c r="A290" s="8">
        <v>288</v>
      </c>
      <c r="B290" s="9" t="s">
        <v>24</v>
      </c>
      <c r="C290" s="9" t="s">
        <v>11</v>
      </c>
      <c r="D290" s="9" t="str">
        <f>"蒙钟怡"</f>
        <v>蒙钟怡</v>
      </c>
      <c r="E290" s="9" t="str">
        <f t="shared" si="37"/>
        <v>女</v>
      </c>
      <c r="F290" s="9" t="str">
        <f>"63992024041921165351999"</f>
        <v>63992024041921165351999</v>
      </c>
      <c r="G290" s="9" t="str">
        <f t="shared" si="38"/>
        <v>0201</v>
      </c>
      <c r="H290" s="9" t="s">
        <v>12</v>
      </c>
      <c r="I290" s="8"/>
    </row>
    <row r="291" spans="1:9" s="2" customFormat="1" ht="30" customHeight="1">
      <c r="A291" s="8">
        <v>289</v>
      </c>
      <c r="B291" s="9" t="s">
        <v>24</v>
      </c>
      <c r="C291" s="9" t="s">
        <v>11</v>
      </c>
      <c r="D291" s="9" t="str">
        <f>"蔡馨"</f>
        <v>蔡馨</v>
      </c>
      <c r="E291" s="9" t="str">
        <f t="shared" si="37"/>
        <v>女</v>
      </c>
      <c r="F291" s="9" t="str">
        <f>"63992024042000012852207"</f>
        <v>63992024042000012852207</v>
      </c>
      <c r="G291" s="9" t="str">
        <f t="shared" si="38"/>
        <v>0201</v>
      </c>
      <c r="H291" s="9" t="s">
        <v>12</v>
      </c>
      <c r="I291" s="8"/>
    </row>
    <row r="292" spans="1:9" s="2" customFormat="1" ht="30" customHeight="1">
      <c r="A292" s="8">
        <v>290</v>
      </c>
      <c r="B292" s="9" t="s">
        <v>24</v>
      </c>
      <c r="C292" s="9" t="s">
        <v>11</v>
      </c>
      <c r="D292" s="9" t="str">
        <f>"陈锦锐"</f>
        <v>陈锦锐</v>
      </c>
      <c r="E292" s="9" t="str">
        <f>"男"</f>
        <v>男</v>
      </c>
      <c r="F292" s="9" t="str">
        <f>"63992024041923444152196"</f>
        <v>63992024041923444152196</v>
      </c>
      <c r="G292" s="9" t="str">
        <f t="shared" si="38"/>
        <v>0201</v>
      </c>
      <c r="H292" s="9" t="s">
        <v>12</v>
      </c>
      <c r="I292" s="8"/>
    </row>
    <row r="293" spans="1:9" s="2" customFormat="1" ht="30" customHeight="1">
      <c r="A293" s="8">
        <v>291</v>
      </c>
      <c r="B293" s="9" t="s">
        <v>24</v>
      </c>
      <c r="C293" s="9" t="s">
        <v>11</v>
      </c>
      <c r="D293" s="9" t="str">
        <f>"钟周洛"</f>
        <v>钟周洛</v>
      </c>
      <c r="E293" s="9" t="str">
        <f aca="true" t="shared" si="39" ref="E293:E302">"女"</f>
        <v>女</v>
      </c>
      <c r="F293" s="9" t="str">
        <f>"63992024042012335752642"</f>
        <v>63992024042012335752642</v>
      </c>
      <c r="G293" s="9" t="str">
        <f t="shared" si="38"/>
        <v>0201</v>
      </c>
      <c r="H293" s="9" t="s">
        <v>12</v>
      </c>
      <c r="I293" s="8"/>
    </row>
    <row r="294" spans="1:9" s="2" customFormat="1" ht="30" customHeight="1">
      <c r="A294" s="8">
        <v>292</v>
      </c>
      <c r="B294" s="9" t="s">
        <v>24</v>
      </c>
      <c r="C294" s="9" t="s">
        <v>11</v>
      </c>
      <c r="D294" s="9" t="str">
        <f>"符杰贤"</f>
        <v>符杰贤</v>
      </c>
      <c r="E294" s="9" t="str">
        <f>"男"</f>
        <v>男</v>
      </c>
      <c r="F294" s="9" t="str">
        <f>"63992024042017264653064"</f>
        <v>63992024042017264653064</v>
      </c>
      <c r="G294" s="9" t="str">
        <f t="shared" si="38"/>
        <v>0201</v>
      </c>
      <c r="H294" s="9" t="s">
        <v>12</v>
      </c>
      <c r="I294" s="8"/>
    </row>
    <row r="295" spans="1:9" s="2" customFormat="1" ht="30" customHeight="1">
      <c r="A295" s="8">
        <v>293</v>
      </c>
      <c r="B295" s="9" t="s">
        <v>24</v>
      </c>
      <c r="C295" s="9" t="s">
        <v>11</v>
      </c>
      <c r="D295" s="9" t="str">
        <f>"陈惠景"</f>
        <v>陈惠景</v>
      </c>
      <c r="E295" s="9" t="str">
        <f t="shared" si="39"/>
        <v>女</v>
      </c>
      <c r="F295" s="9" t="str">
        <f>"63992024042017555953095"</f>
        <v>63992024042017555953095</v>
      </c>
      <c r="G295" s="9" t="str">
        <f t="shared" si="38"/>
        <v>0201</v>
      </c>
      <c r="H295" s="9" t="s">
        <v>12</v>
      </c>
      <c r="I295" s="8"/>
    </row>
    <row r="296" spans="1:9" s="2" customFormat="1" ht="30" customHeight="1">
      <c r="A296" s="8">
        <v>294</v>
      </c>
      <c r="B296" s="9" t="s">
        <v>24</v>
      </c>
      <c r="C296" s="9" t="s">
        <v>11</v>
      </c>
      <c r="D296" s="9" t="str">
        <f>"陈莹"</f>
        <v>陈莹</v>
      </c>
      <c r="E296" s="9" t="str">
        <f t="shared" si="39"/>
        <v>女</v>
      </c>
      <c r="F296" s="9" t="str">
        <f>"63992024042017575653099"</f>
        <v>63992024042017575653099</v>
      </c>
      <c r="G296" s="9" t="str">
        <f t="shared" si="38"/>
        <v>0201</v>
      </c>
      <c r="H296" s="9" t="s">
        <v>12</v>
      </c>
      <c r="I296" s="8"/>
    </row>
    <row r="297" spans="1:9" s="2" customFormat="1" ht="30" customHeight="1">
      <c r="A297" s="8">
        <v>295</v>
      </c>
      <c r="B297" s="9" t="s">
        <v>24</v>
      </c>
      <c r="C297" s="9" t="s">
        <v>11</v>
      </c>
      <c r="D297" s="9" t="str">
        <f>"张明娇"</f>
        <v>张明娇</v>
      </c>
      <c r="E297" s="9" t="str">
        <f t="shared" si="39"/>
        <v>女</v>
      </c>
      <c r="F297" s="9" t="str">
        <f>"63992024041921254652021"</f>
        <v>63992024041921254652021</v>
      </c>
      <c r="G297" s="9" t="str">
        <f t="shared" si="38"/>
        <v>0201</v>
      </c>
      <c r="H297" s="9" t="s">
        <v>12</v>
      </c>
      <c r="I297" s="8"/>
    </row>
    <row r="298" spans="1:9" s="2" customFormat="1" ht="30" customHeight="1">
      <c r="A298" s="8">
        <v>296</v>
      </c>
      <c r="B298" s="9" t="s">
        <v>24</v>
      </c>
      <c r="C298" s="9" t="s">
        <v>11</v>
      </c>
      <c r="D298" s="9" t="str">
        <f>"刘小文"</f>
        <v>刘小文</v>
      </c>
      <c r="E298" s="9" t="str">
        <f t="shared" si="39"/>
        <v>女</v>
      </c>
      <c r="F298" s="9" t="str">
        <f>"63992024042109213356886"</f>
        <v>63992024042109213356886</v>
      </c>
      <c r="G298" s="9" t="str">
        <f t="shared" si="38"/>
        <v>0201</v>
      </c>
      <c r="H298" s="9" t="s">
        <v>12</v>
      </c>
      <c r="I298" s="8"/>
    </row>
    <row r="299" spans="1:9" s="2" customFormat="1" ht="30" customHeight="1">
      <c r="A299" s="8">
        <v>297</v>
      </c>
      <c r="B299" s="9" t="s">
        <v>24</v>
      </c>
      <c r="C299" s="9" t="s">
        <v>11</v>
      </c>
      <c r="D299" s="9" t="str">
        <f>"马洪博"</f>
        <v>马洪博</v>
      </c>
      <c r="E299" s="9" t="str">
        <f t="shared" si="39"/>
        <v>女</v>
      </c>
      <c r="F299" s="9" t="str">
        <f>"63992024042017353953078"</f>
        <v>63992024042017353953078</v>
      </c>
      <c r="G299" s="9" t="str">
        <f t="shared" si="38"/>
        <v>0201</v>
      </c>
      <c r="H299" s="9" t="s">
        <v>12</v>
      </c>
      <c r="I299" s="8"/>
    </row>
    <row r="300" spans="1:9" s="2" customFormat="1" ht="30" customHeight="1">
      <c r="A300" s="8">
        <v>298</v>
      </c>
      <c r="B300" s="9" t="s">
        <v>24</v>
      </c>
      <c r="C300" s="9" t="s">
        <v>11</v>
      </c>
      <c r="D300" s="9" t="str">
        <f>"张进珠"</f>
        <v>张进珠</v>
      </c>
      <c r="E300" s="9" t="str">
        <f t="shared" si="39"/>
        <v>女</v>
      </c>
      <c r="F300" s="9" t="str">
        <f>"63992024042117550757675"</f>
        <v>63992024042117550757675</v>
      </c>
      <c r="G300" s="9" t="str">
        <f t="shared" si="38"/>
        <v>0201</v>
      </c>
      <c r="H300" s="9" t="s">
        <v>12</v>
      </c>
      <c r="I300" s="8"/>
    </row>
    <row r="301" spans="1:9" s="2" customFormat="1" ht="30" customHeight="1">
      <c r="A301" s="8">
        <v>299</v>
      </c>
      <c r="B301" s="9" t="s">
        <v>24</v>
      </c>
      <c r="C301" s="9" t="s">
        <v>11</v>
      </c>
      <c r="D301" s="9" t="str">
        <f>"李欢乐"</f>
        <v>李欢乐</v>
      </c>
      <c r="E301" s="9" t="str">
        <f t="shared" si="39"/>
        <v>女</v>
      </c>
      <c r="F301" s="9" t="str">
        <f>"63992024042120470557867"</f>
        <v>63992024042120470557867</v>
      </c>
      <c r="G301" s="9" t="str">
        <f t="shared" si="38"/>
        <v>0201</v>
      </c>
      <c r="H301" s="9" t="s">
        <v>12</v>
      </c>
      <c r="I301" s="8"/>
    </row>
    <row r="302" spans="1:9" s="2" customFormat="1" ht="30" customHeight="1">
      <c r="A302" s="8">
        <v>300</v>
      </c>
      <c r="B302" s="9" t="s">
        <v>24</v>
      </c>
      <c r="C302" s="9" t="s">
        <v>11</v>
      </c>
      <c r="D302" s="9" t="str">
        <f>"黄少芬"</f>
        <v>黄少芬</v>
      </c>
      <c r="E302" s="9" t="str">
        <f t="shared" si="39"/>
        <v>女</v>
      </c>
      <c r="F302" s="9" t="str">
        <f>"63992024042123550458090"</f>
        <v>63992024042123550458090</v>
      </c>
      <c r="G302" s="9" t="str">
        <f t="shared" si="38"/>
        <v>0201</v>
      </c>
      <c r="H302" s="9" t="s">
        <v>12</v>
      </c>
      <c r="I302" s="8"/>
    </row>
    <row r="303" spans="1:9" s="2" customFormat="1" ht="30" customHeight="1">
      <c r="A303" s="8">
        <v>301</v>
      </c>
      <c r="B303" s="9" t="s">
        <v>24</v>
      </c>
      <c r="C303" s="9" t="s">
        <v>11</v>
      </c>
      <c r="D303" s="9" t="str">
        <f>"李俊"</f>
        <v>李俊</v>
      </c>
      <c r="E303" s="9" t="str">
        <f>"男"</f>
        <v>男</v>
      </c>
      <c r="F303" s="9" t="str">
        <f>"63992024041923554152201"</f>
        <v>63992024041923554152201</v>
      </c>
      <c r="G303" s="9" t="str">
        <f t="shared" si="38"/>
        <v>0201</v>
      </c>
      <c r="H303" s="9" t="s">
        <v>12</v>
      </c>
      <c r="I303" s="8"/>
    </row>
    <row r="304" spans="1:9" s="2" customFormat="1" ht="30" customHeight="1">
      <c r="A304" s="8">
        <v>302</v>
      </c>
      <c r="B304" s="9" t="s">
        <v>24</v>
      </c>
      <c r="C304" s="9" t="s">
        <v>11</v>
      </c>
      <c r="D304" s="9" t="str">
        <f>"陈君君"</f>
        <v>陈君君</v>
      </c>
      <c r="E304" s="9" t="str">
        <f aca="true" t="shared" si="40" ref="E304:E311">"女"</f>
        <v>女</v>
      </c>
      <c r="F304" s="9" t="str">
        <f>"63992024042211381160857"</f>
        <v>63992024042211381160857</v>
      </c>
      <c r="G304" s="9" t="str">
        <f t="shared" si="38"/>
        <v>0201</v>
      </c>
      <c r="H304" s="9" t="s">
        <v>12</v>
      </c>
      <c r="I304" s="8"/>
    </row>
    <row r="305" spans="1:9" s="2" customFormat="1" ht="30" customHeight="1">
      <c r="A305" s="8">
        <v>303</v>
      </c>
      <c r="B305" s="9" t="s">
        <v>24</v>
      </c>
      <c r="C305" s="9" t="s">
        <v>11</v>
      </c>
      <c r="D305" s="9" t="str">
        <f>"文真真"</f>
        <v>文真真</v>
      </c>
      <c r="E305" s="9" t="str">
        <f t="shared" si="40"/>
        <v>女</v>
      </c>
      <c r="F305" s="9" t="str">
        <f>"63992024042213583561798"</f>
        <v>63992024042213583561798</v>
      </c>
      <c r="G305" s="9" t="str">
        <f t="shared" si="38"/>
        <v>0201</v>
      </c>
      <c r="H305" s="9" t="s">
        <v>12</v>
      </c>
      <c r="I305" s="8"/>
    </row>
    <row r="306" spans="1:9" s="2" customFormat="1" ht="30" customHeight="1">
      <c r="A306" s="8">
        <v>304</v>
      </c>
      <c r="B306" s="9" t="s">
        <v>24</v>
      </c>
      <c r="C306" s="9" t="s">
        <v>11</v>
      </c>
      <c r="D306" s="9" t="str">
        <f>"唐娥飞"</f>
        <v>唐娥飞</v>
      </c>
      <c r="E306" s="9" t="str">
        <f t="shared" si="40"/>
        <v>女</v>
      </c>
      <c r="F306" s="9" t="str">
        <f>"63992024042215334565661"</f>
        <v>63992024042215334565661</v>
      </c>
      <c r="G306" s="9" t="str">
        <f t="shared" si="38"/>
        <v>0201</v>
      </c>
      <c r="H306" s="9" t="s">
        <v>12</v>
      </c>
      <c r="I306" s="8"/>
    </row>
    <row r="307" spans="1:9" s="2" customFormat="1" ht="30" customHeight="1">
      <c r="A307" s="8">
        <v>305</v>
      </c>
      <c r="B307" s="9" t="s">
        <v>24</v>
      </c>
      <c r="C307" s="9" t="s">
        <v>11</v>
      </c>
      <c r="D307" s="9" t="str">
        <f>"周带林"</f>
        <v>周带林</v>
      </c>
      <c r="E307" s="9" t="str">
        <f t="shared" si="40"/>
        <v>女</v>
      </c>
      <c r="F307" s="9" t="str">
        <f>"63992024042215501165793"</f>
        <v>63992024042215501165793</v>
      </c>
      <c r="G307" s="9" t="str">
        <f t="shared" si="38"/>
        <v>0201</v>
      </c>
      <c r="H307" s="9" t="s">
        <v>12</v>
      </c>
      <c r="I307" s="8"/>
    </row>
    <row r="308" spans="1:9" s="2" customFormat="1" ht="30" customHeight="1">
      <c r="A308" s="8">
        <v>306</v>
      </c>
      <c r="B308" s="9" t="s">
        <v>24</v>
      </c>
      <c r="C308" s="9" t="s">
        <v>11</v>
      </c>
      <c r="D308" s="9" t="str">
        <f>"吴育芬"</f>
        <v>吴育芬</v>
      </c>
      <c r="E308" s="9" t="str">
        <f t="shared" si="40"/>
        <v>女</v>
      </c>
      <c r="F308" s="9" t="str">
        <f>"63992024042216051665914"</f>
        <v>63992024042216051665914</v>
      </c>
      <c r="G308" s="9" t="str">
        <f t="shared" si="38"/>
        <v>0201</v>
      </c>
      <c r="H308" s="9" t="s">
        <v>12</v>
      </c>
      <c r="I308" s="8"/>
    </row>
    <row r="309" spans="1:9" s="2" customFormat="1" ht="30" customHeight="1">
      <c r="A309" s="8">
        <v>307</v>
      </c>
      <c r="B309" s="9" t="s">
        <v>24</v>
      </c>
      <c r="C309" s="9" t="s">
        <v>11</v>
      </c>
      <c r="D309" s="9" t="str">
        <f>"梁茹祯"</f>
        <v>梁茹祯</v>
      </c>
      <c r="E309" s="9" t="str">
        <f t="shared" si="40"/>
        <v>女</v>
      </c>
      <c r="F309" s="9" t="str">
        <f>"63992024042216361566159"</f>
        <v>63992024042216361566159</v>
      </c>
      <c r="G309" s="9" t="str">
        <f t="shared" si="38"/>
        <v>0201</v>
      </c>
      <c r="H309" s="9" t="s">
        <v>12</v>
      </c>
      <c r="I309" s="8"/>
    </row>
    <row r="310" spans="1:9" s="2" customFormat="1" ht="30" customHeight="1">
      <c r="A310" s="8">
        <v>308</v>
      </c>
      <c r="B310" s="9" t="s">
        <v>24</v>
      </c>
      <c r="C310" s="9" t="s">
        <v>11</v>
      </c>
      <c r="D310" s="9" t="str">
        <f>"李小晶"</f>
        <v>李小晶</v>
      </c>
      <c r="E310" s="9" t="str">
        <f t="shared" si="40"/>
        <v>女</v>
      </c>
      <c r="F310" s="9" t="str">
        <f>"63992024042216132765977"</f>
        <v>63992024042216132765977</v>
      </c>
      <c r="G310" s="9" t="str">
        <f t="shared" si="38"/>
        <v>0201</v>
      </c>
      <c r="H310" s="9" t="s">
        <v>12</v>
      </c>
      <c r="I310" s="8"/>
    </row>
    <row r="311" spans="1:9" s="2" customFormat="1" ht="30" customHeight="1">
      <c r="A311" s="8">
        <v>309</v>
      </c>
      <c r="B311" s="9" t="s">
        <v>24</v>
      </c>
      <c r="C311" s="9" t="s">
        <v>11</v>
      </c>
      <c r="D311" s="9" t="str">
        <f>"王韦月"</f>
        <v>王韦月</v>
      </c>
      <c r="E311" s="9" t="str">
        <f t="shared" si="40"/>
        <v>女</v>
      </c>
      <c r="F311" s="9" t="str">
        <f>"63992024042218145066856"</f>
        <v>63992024042218145066856</v>
      </c>
      <c r="G311" s="9" t="str">
        <f t="shared" si="38"/>
        <v>0201</v>
      </c>
      <c r="H311" s="9" t="s">
        <v>12</v>
      </c>
      <c r="I311" s="8"/>
    </row>
    <row r="312" spans="1:9" s="2" customFormat="1" ht="30" customHeight="1">
      <c r="A312" s="8">
        <v>310</v>
      </c>
      <c r="B312" s="9" t="s">
        <v>24</v>
      </c>
      <c r="C312" s="9" t="s">
        <v>11</v>
      </c>
      <c r="D312" s="9" t="str">
        <f>"王泓然"</f>
        <v>王泓然</v>
      </c>
      <c r="E312" s="9" t="str">
        <f>"男"</f>
        <v>男</v>
      </c>
      <c r="F312" s="9" t="str">
        <f>"63992024042218352066985"</f>
        <v>63992024042218352066985</v>
      </c>
      <c r="G312" s="9" t="str">
        <f t="shared" si="38"/>
        <v>0201</v>
      </c>
      <c r="H312" s="9" t="s">
        <v>12</v>
      </c>
      <c r="I312" s="8"/>
    </row>
    <row r="313" spans="1:9" s="2" customFormat="1" ht="30" customHeight="1">
      <c r="A313" s="8">
        <v>311</v>
      </c>
      <c r="B313" s="9" t="s">
        <v>24</v>
      </c>
      <c r="C313" s="9" t="s">
        <v>11</v>
      </c>
      <c r="D313" s="9" t="str">
        <f>"邓奇英"</f>
        <v>邓奇英</v>
      </c>
      <c r="E313" s="9" t="str">
        <f aca="true" t="shared" si="41" ref="E313:E319">"女"</f>
        <v>女</v>
      </c>
      <c r="F313" s="9" t="str">
        <f>"63992024042220113067504"</f>
        <v>63992024042220113067504</v>
      </c>
      <c r="G313" s="9" t="str">
        <f t="shared" si="38"/>
        <v>0201</v>
      </c>
      <c r="H313" s="9" t="s">
        <v>12</v>
      </c>
      <c r="I313" s="8"/>
    </row>
    <row r="314" spans="1:9" s="2" customFormat="1" ht="30" customHeight="1">
      <c r="A314" s="8">
        <v>312</v>
      </c>
      <c r="B314" s="9" t="s">
        <v>24</v>
      </c>
      <c r="C314" s="9" t="s">
        <v>11</v>
      </c>
      <c r="D314" s="9" t="str">
        <f>"符丽香"</f>
        <v>符丽香</v>
      </c>
      <c r="E314" s="9" t="str">
        <f t="shared" si="41"/>
        <v>女</v>
      </c>
      <c r="F314" s="9" t="str">
        <f>"63992024042112091257157"</f>
        <v>63992024042112091257157</v>
      </c>
      <c r="G314" s="9" t="str">
        <f t="shared" si="38"/>
        <v>0201</v>
      </c>
      <c r="H314" s="9" t="s">
        <v>12</v>
      </c>
      <c r="I314" s="8"/>
    </row>
    <row r="315" spans="1:9" s="2" customFormat="1" ht="30" customHeight="1">
      <c r="A315" s="8">
        <v>313</v>
      </c>
      <c r="B315" s="9" t="s">
        <v>24</v>
      </c>
      <c r="C315" s="9" t="s">
        <v>11</v>
      </c>
      <c r="D315" s="9" t="str">
        <f>"尹扬振"</f>
        <v>尹扬振</v>
      </c>
      <c r="E315" s="9" t="str">
        <f>"男"</f>
        <v>男</v>
      </c>
      <c r="F315" s="9" t="str">
        <f>"63992024042223240668500"</f>
        <v>63992024042223240668500</v>
      </c>
      <c r="G315" s="9" t="str">
        <f t="shared" si="38"/>
        <v>0201</v>
      </c>
      <c r="H315" s="9" t="s">
        <v>12</v>
      </c>
      <c r="I315" s="8"/>
    </row>
    <row r="316" spans="1:9" s="2" customFormat="1" ht="30" customHeight="1">
      <c r="A316" s="8">
        <v>314</v>
      </c>
      <c r="B316" s="9" t="s">
        <v>24</v>
      </c>
      <c r="C316" s="9" t="s">
        <v>11</v>
      </c>
      <c r="D316" s="9" t="str">
        <f>"张小倩"</f>
        <v>张小倩</v>
      </c>
      <c r="E316" s="9" t="str">
        <f t="shared" si="41"/>
        <v>女</v>
      </c>
      <c r="F316" s="9" t="str">
        <f>"63992024042209413959444"</f>
        <v>63992024042209413959444</v>
      </c>
      <c r="G316" s="9" t="str">
        <f t="shared" si="38"/>
        <v>0201</v>
      </c>
      <c r="H316" s="9" t="s">
        <v>12</v>
      </c>
      <c r="I316" s="8"/>
    </row>
    <row r="317" spans="1:9" s="2" customFormat="1" ht="30" customHeight="1">
      <c r="A317" s="8">
        <v>315</v>
      </c>
      <c r="B317" s="9" t="s">
        <v>24</v>
      </c>
      <c r="C317" s="9" t="s">
        <v>11</v>
      </c>
      <c r="D317" s="9" t="str">
        <f>"吴晓虹"</f>
        <v>吴晓虹</v>
      </c>
      <c r="E317" s="9" t="str">
        <f t="shared" si="41"/>
        <v>女</v>
      </c>
      <c r="F317" s="9" t="str">
        <f>"63992024042309254869697"</f>
        <v>63992024042309254869697</v>
      </c>
      <c r="G317" s="9" t="str">
        <f t="shared" si="38"/>
        <v>0201</v>
      </c>
      <c r="H317" s="9" t="s">
        <v>12</v>
      </c>
      <c r="I317" s="8"/>
    </row>
    <row r="318" spans="1:9" s="2" customFormat="1" ht="30" customHeight="1">
      <c r="A318" s="8">
        <v>316</v>
      </c>
      <c r="B318" s="9" t="s">
        <v>24</v>
      </c>
      <c r="C318" s="9" t="s">
        <v>11</v>
      </c>
      <c r="D318" s="9" t="str">
        <f>"陈玲"</f>
        <v>陈玲</v>
      </c>
      <c r="E318" s="9" t="str">
        <f t="shared" si="41"/>
        <v>女</v>
      </c>
      <c r="F318" s="9" t="str">
        <f>"63992024042310473471636"</f>
        <v>63992024042310473471636</v>
      </c>
      <c r="G318" s="9" t="str">
        <f t="shared" si="38"/>
        <v>0201</v>
      </c>
      <c r="H318" s="9" t="s">
        <v>12</v>
      </c>
      <c r="I318" s="8"/>
    </row>
    <row r="319" spans="1:9" s="2" customFormat="1" ht="30" customHeight="1">
      <c r="A319" s="8">
        <v>317</v>
      </c>
      <c r="B319" s="9" t="s">
        <v>24</v>
      </c>
      <c r="C319" s="9" t="s">
        <v>11</v>
      </c>
      <c r="D319" s="9" t="str">
        <f>"梁于威"</f>
        <v>梁于威</v>
      </c>
      <c r="E319" s="9" t="str">
        <f t="shared" si="41"/>
        <v>女</v>
      </c>
      <c r="F319" s="9" t="str">
        <f>"63992024042311304472313"</f>
        <v>63992024042311304472313</v>
      </c>
      <c r="G319" s="9" t="str">
        <f t="shared" si="38"/>
        <v>0201</v>
      </c>
      <c r="H319" s="9" t="s">
        <v>12</v>
      </c>
      <c r="I319" s="8"/>
    </row>
    <row r="320" spans="1:9" s="2" customFormat="1" ht="30" customHeight="1">
      <c r="A320" s="8">
        <v>318</v>
      </c>
      <c r="B320" s="9" t="s">
        <v>24</v>
      </c>
      <c r="C320" s="9" t="s">
        <v>11</v>
      </c>
      <c r="D320" s="9" t="str">
        <f>"李双灼"</f>
        <v>李双灼</v>
      </c>
      <c r="E320" s="9" t="str">
        <f>"男"</f>
        <v>男</v>
      </c>
      <c r="F320" s="9" t="str">
        <f>"63992024042312392273323"</f>
        <v>63992024042312392273323</v>
      </c>
      <c r="G320" s="9" t="str">
        <f t="shared" si="38"/>
        <v>0201</v>
      </c>
      <c r="H320" s="9" t="s">
        <v>12</v>
      </c>
      <c r="I320" s="8"/>
    </row>
    <row r="321" spans="1:9" s="2" customFormat="1" ht="30" customHeight="1">
      <c r="A321" s="8">
        <v>319</v>
      </c>
      <c r="B321" s="9" t="s">
        <v>24</v>
      </c>
      <c r="C321" s="9" t="s">
        <v>11</v>
      </c>
      <c r="D321" s="9" t="str">
        <f>"文婕"</f>
        <v>文婕</v>
      </c>
      <c r="E321" s="9" t="str">
        <f aca="true" t="shared" si="42" ref="E321:E332">"女"</f>
        <v>女</v>
      </c>
      <c r="F321" s="9" t="str">
        <f>"63992024042315435475198"</f>
        <v>63992024042315435475198</v>
      </c>
      <c r="G321" s="9" t="str">
        <f t="shared" si="38"/>
        <v>0201</v>
      </c>
      <c r="H321" s="9" t="s">
        <v>12</v>
      </c>
      <c r="I321" s="8"/>
    </row>
    <row r="322" spans="1:9" s="2" customFormat="1" ht="30" customHeight="1">
      <c r="A322" s="8">
        <v>320</v>
      </c>
      <c r="B322" s="9" t="s">
        <v>24</v>
      </c>
      <c r="C322" s="9" t="s">
        <v>11</v>
      </c>
      <c r="D322" s="9" t="str">
        <f>"苏娇雪"</f>
        <v>苏娇雪</v>
      </c>
      <c r="E322" s="9" t="str">
        <f t="shared" si="42"/>
        <v>女</v>
      </c>
      <c r="F322" s="9" t="str">
        <f>"63992024042311120272037"</f>
        <v>63992024042311120272037</v>
      </c>
      <c r="G322" s="9" t="str">
        <f t="shared" si="38"/>
        <v>0201</v>
      </c>
      <c r="H322" s="9" t="s">
        <v>12</v>
      </c>
      <c r="I322" s="8"/>
    </row>
    <row r="323" spans="1:9" s="2" customFormat="1" ht="30" customHeight="1">
      <c r="A323" s="8">
        <v>321</v>
      </c>
      <c r="B323" s="9" t="s">
        <v>24</v>
      </c>
      <c r="C323" s="9" t="s">
        <v>11</v>
      </c>
      <c r="D323" s="9" t="str">
        <f>"王红钰"</f>
        <v>王红钰</v>
      </c>
      <c r="E323" s="9" t="str">
        <f t="shared" si="42"/>
        <v>女</v>
      </c>
      <c r="F323" s="9" t="str">
        <f>"63992024042317164377182"</f>
        <v>63992024042317164377182</v>
      </c>
      <c r="G323" s="9" t="str">
        <f t="shared" si="38"/>
        <v>0201</v>
      </c>
      <c r="H323" s="9" t="s">
        <v>12</v>
      </c>
      <c r="I323" s="8"/>
    </row>
    <row r="324" spans="1:9" s="2" customFormat="1" ht="30" customHeight="1">
      <c r="A324" s="8">
        <v>322</v>
      </c>
      <c r="B324" s="9" t="s">
        <v>24</v>
      </c>
      <c r="C324" s="9" t="s">
        <v>11</v>
      </c>
      <c r="D324" s="9" t="str">
        <f>"曾婷"</f>
        <v>曾婷</v>
      </c>
      <c r="E324" s="9" t="str">
        <f t="shared" si="42"/>
        <v>女</v>
      </c>
      <c r="F324" s="9" t="str">
        <f>"63992024042315050974747"</f>
        <v>63992024042315050974747</v>
      </c>
      <c r="G324" s="9" t="str">
        <f t="shared" si="38"/>
        <v>0201</v>
      </c>
      <c r="H324" s="9" t="s">
        <v>12</v>
      </c>
      <c r="I324" s="8"/>
    </row>
    <row r="325" spans="1:9" s="2" customFormat="1" ht="30" customHeight="1">
      <c r="A325" s="8">
        <v>323</v>
      </c>
      <c r="B325" s="9" t="s">
        <v>24</v>
      </c>
      <c r="C325" s="9" t="s">
        <v>11</v>
      </c>
      <c r="D325" s="9" t="str">
        <f>"麦婕"</f>
        <v>麦婕</v>
      </c>
      <c r="E325" s="9" t="str">
        <f t="shared" si="42"/>
        <v>女</v>
      </c>
      <c r="F325" s="9" t="str">
        <f>"63992024042319165978077"</f>
        <v>63992024042319165978077</v>
      </c>
      <c r="G325" s="9" t="str">
        <f t="shared" si="38"/>
        <v>0201</v>
      </c>
      <c r="H325" s="9" t="s">
        <v>12</v>
      </c>
      <c r="I325" s="8"/>
    </row>
    <row r="326" spans="1:9" s="2" customFormat="1" ht="30" customHeight="1">
      <c r="A326" s="8">
        <v>324</v>
      </c>
      <c r="B326" s="9" t="s">
        <v>24</v>
      </c>
      <c r="C326" s="9" t="s">
        <v>11</v>
      </c>
      <c r="D326" s="9" t="str">
        <f>"黎思诗"</f>
        <v>黎思诗</v>
      </c>
      <c r="E326" s="9" t="str">
        <f t="shared" si="42"/>
        <v>女</v>
      </c>
      <c r="F326" s="9" t="str">
        <f>"63992024042318584377943"</f>
        <v>63992024042318584377943</v>
      </c>
      <c r="G326" s="9" t="str">
        <f t="shared" si="38"/>
        <v>0201</v>
      </c>
      <c r="H326" s="9" t="s">
        <v>12</v>
      </c>
      <c r="I326" s="8"/>
    </row>
    <row r="327" spans="1:9" s="2" customFormat="1" ht="30" customHeight="1">
      <c r="A327" s="8">
        <v>325</v>
      </c>
      <c r="B327" s="9" t="s">
        <v>24</v>
      </c>
      <c r="C327" s="9" t="s">
        <v>11</v>
      </c>
      <c r="D327" s="9" t="str">
        <f>"梁华南"</f>
        <v>梁华南</v>
      </c>
      <c r="E327" s="9" t="str">
        <f t="shared" si="42"/>
        <v>女</v>
      </c>
      <c r="F327" s="9" t="str">
        <f>"63992024042223544968548"</f>
        <v>63992024042223544968548</v>
      </c>
      <c r="G327" s="9" t="str">
        <f t="shared" si="38"/>
        <v>0201</v>
      </c>
      <c r="H327" s="9" t="s">
        <v>12</v>
      </c>
      <c r="I327" s="8"/>
    </row>
    <row r="328" spans="1:9" s="2" customFormat="1" ht="30" customHeight="1">
      <c r="A328" s="8">
        <v>326</v>
      </c>
      <c r="B328" s="9" t="s">
        <v>24</v>
      </c>
      <c r="C328" s="9" t="s">
        <v>11</v>
      </c>
      <c r="D328" s="9" t="str">
        <f>"许玉婷"</f>
        <v>许玉婷</v>
      </c>
      <c r="E328" s="9" t="str">
        <f t="shared" si="42"/>
        <v>女</v>
      </c>
      <c r="F328" s="9" t="str">
        <f>"63992024042412491687965"</f>
        <v>63992024042412491687965</v>
      </c>
      <c r="G328" s="9" t="str">
        <f t="shared" si="38"/>
        <v>0201</v>
      </c>
      <c r="H328" s="9" t="s">
        <v>12</v>
      </c>
      <c r="I328" s="8"/>
    </row>
    <row r="329" spans="1:9" s="2" customFormat="1" ht="30" customHeight="1">
      <c r="A329" s="8">
        <v>327</v>
      </c>
      <c r="B329" s="9" t="s">
        <v>24</v>
      </c>
      <c r="C329" s="9" t="s">
        <v>11</v>
      </c>
      <c r="D329" s="9" t="str">
        <f>"王秀雯"</f>
        <v>王秀雯</v>
      </c>
      <c r="E329" s="9" t="str">
        <f t="shared" si="42"/>
        <v>女</v>
      </c>
      <c r="F329" s="9" t="str">
        <f>"63992024042417323991701"</f>
        <v>63992024042417323991701</v>
      </c>
      <c r="G329" s="9" t="str">
        <f t="shared" si="38"/>
        <v>0201</v>
      </c>
      <c r="H329" s="9" t="s">
        <v>12</v>
      </c>
      <c r="I329" s="8"/>
    </row>
    <row r="330" spans="1:9" s="2" customFormat="1" ht="30" customHeight="1">
      <c r="A330" s="8">
        <v>328</v>
      </c>
      <c r="B330" s="9" t="s">
        <v>24</v>
      </c>
      <c r="C330" s="9" t="s">
        <v>11</v>
      </c>
      <c r="D330" s="9" t="str">
        <f>"黄永芳"</f>
        <v>黄永芳</v>
      </c>
      <c r="E330" s="9" t="str">
        <f t="shared" si="42"/>
        <v>女</v>
      </c>
      <c r="F330" s="9" t="str">
        <f>"63992024042420175092386"</f>
        <v>63992024042420175092386</v>
      </c>
      <c r="G330" s="9" t="str">
        <f t="shared" si="38"/>
        <v>0201</v>
      </c>
      <c r="H330" s="9" t="s">
        <v>12</v>
      </c>
      <c r="I330" s="8"/>
    </row>
    <row r="331" spans="1:9" s="2" customFormat="1" ht="30" customHeight="1">
      <c r="A331" s="8">
        <v>329</v>
      </c>
      <c r="B331" s="9" t="s">
        <v>24</v>
      </c>
      <c r="C331" s="9" t="s">
        <v>11</v>
      </c>
      <c r="D331" s="9" t="str">
        <f>"张璇"</f>
        <v>张璇</v>
      </c>
      <c r="E331" s="9" t="str">
        <f t="shared" si="42"/>
        <v>女</v>
      </c>
      <c r="F331" s="9" t="str">
        <f>"63992024042216093165951"</f>
        <v>63992024042216093165951</v>
      </c>
      <c r="G331" s="9" t="str">
        <f t="shared" si="38"/>
        <v>0201</v>
      </c>
      <c r="H331" s="9" t="s">
        <v>12</v>
      </c>
      <c r="I331" s="8"/>
    </row>
    <row r="332" spans="1:9" s="2" customFormat="1" ht="30" customHeight="1">
      <c r="A332" s="8">
        <v>330</v>
      </c>
      <c r="B332" s="9" t="s">
        <v>24</v>
      </c>
      <c r="C332" s="9" t="s">
        <v>11</v>
      </c>
      <c r="D332" s="9" t="str">
        <f>"梁宏宇"</f>
        <v>梁宏宇</v>
      </c>
      <c r="E332" s="9" t="str">
        <f t="shared" si="42"/>
        <v>女</v>
      </c>
      <c r="F332" s="9" t="str">
        <f>"63992024042501145893496"</f>
        <v>63992024042501145893496</v>
      </c>
      <c r="G332" s="9" t="str">
        <f t="shared" si="38"/>
        <v>0201</v>
      </c>
      <c r="H332" s="9" t="s">
        <v>12</v>
      </c>
      <c r="I332" s="8"/>
    </row>
    <row r="333" spans="1:9" s="2" customFormat="1" ht="30" customHeight="1">
      <c r="A333" s="8">
        <v>331</v>
      </c>
      <c r="B333" s="9" t="s">
        <v>24</v>
      </c>
      <c r="C333" s="9" t="s">
        <v>11</v>
      </c>
      <c r="D333" s="9" t="str">
        <f>"林寿武"</f>
        <v>林寿武</v>
      </c>
      <c r="E333" s="9" t="str">
        <f>"男"</f>
        <v>男</v>
      </c>
      <c r="F333" s="9" t="str">
        <f>"63992024042121343257934"</f>
        <v>63992024042121343257934</v>
      </c>
      <c r="G333" s="9" t="str">
        <f t="shared" si="38"/>
        <v>0201</v>
      </c>
      <c r="H333" s="9" t="s">
        <v>12</v>
      </c>
      <c r="I333" s="8"/>
    </row>
    <row r="334" spans="1:9" s="2" customFormat="1" ht="30" customHeight="1">
      <c r="A334" s="8">
        <v>332</v>
      </c>
      <c r="B334" s="9" t="s">
        <v>24</v>
      </c>
      <c r="C334" s="9" t="s">
        <v>11</v>
      </c>
      <c r="D334" s="9" t="str">
        <f>"李杏"</f>
        <v>李杏</v>
      </c>
      <c r="E334" s="9" t="str">
        <f aca="true" t="shared" si="43" ref="E334:E346">"女"</f>
        <v>女</v>
      </c>
      <c r="F334" s="9" t="str">
        <f>"63992024042508405993751"</f>
        <v>63992024042508405993751</v>
      </c>
      <c r="G334" s="9" t="str">
        <f t="shared" si="38"/>
        <v>0201</v>
      </c>
      <c r="H334" s="9" t="s">
        <v>12</v>
      </c>
      <c r="I334" s="8"/>
    </row>
    <row r="335" spans="1:9" s="2" customFormat="1" ht="30" customHeight="1">
      <c r="A335" s="8">
        <v>333</v>
      </c>
      <c r="B335" s="9" t="s">
        <v>24</v>
      </c>
      <c r="C335" s="9" t="s">
        <v>11</v>
      </c>
      <c r="D335" s="9" t="str">
        <f>"王亚明"</f>
        <v>王亚明</v>
      </c>
      <c r="E335" s="9" t="str">
        <f>"男"</f>
        <v>男</v>
      </c>
      <c r="F335" s="9" t="str">
        <f>"63992024042509273894032"</f>
        <v>63992024042509273894032</v>
      </c>
      <c r="G335" s="9" t="str">
        <f t="shared" si="38"/>
        <v>0201</v>
      </c>
      <c r="H335" s="9" t="s">
        <v>12</v>
      </c>
      <c r="I335" s="8"/>
    </row>
    <row r="336" spans="1:9" s="2" customFormat="1" ht="30" customHeight="1">
      <c r="A336" s="8">
        <v>334</v>
      </c>
      <c r="B336" s="9" t="s">
        <v>24</v>
      </c>
      <c r="C336" s="9" t="s">
        <v>11</v>
      </c>
      <c r="D336" s="9" t="str">
        <f>"吉晶莹"</f>
        <v>吉晶莹</v>
      </c>
      <c r="E336" s="9" t="str">
        <f t="shared" si="43"/>
        <v>女</v>
      </c>
      <c r="F336" s="9" t="str">
        <f>"63992024042510013094274"</f>
        <v>63992024042510013094274</v>
      </c>
      <c r="G336" s="9" t="str">
        <f t="shared" si="38"/>
        <v>0201</v>
      </c>
      <c r="H336" s="9" t="s">
        <v>12</v>
      </c>
      <c r="I336" s="8"/>
    </row>
    <row r="337" spans="1:9" s="2" customFormat="1" ht="30" customHeight="1">
      <c r="A337" s="8">
        <v>335</v>
      </c>
      <c r="B337" s="9" t="s">
        <v>24</v>
      </c>
      <c r="C337" s="9" t="s">
        <v>11</v>
      </c>
      <c r="D337" s="9" t="str">
        <f>"骆秀妹"</f>
        <v>骆秀妹</v>
      </c>
      <c r="E337" s="9" t="str">
        <f t="shared" si="43"/>
        <v>女</v>
      </c>
      <c r="F337" s="9" t="str">
        <f>"63992024042215593765875"</f>
        <v>63992024042215593765875</v>
      </c>
      <c r="G337" s="9" t="str">
        <f t="shared" si="38"/>
        <v>0201</v>
      </c>
      <c r="H337" s="9" t="s">
        <v>12</v>
      </c>
      <c r="I337" s="8"/>
    </row>
    <row r="338" spans="1:9" s="2" customFormat="1" ht="30" customHeight="1">
      <c r="A338" s="8">
        <v>336</v>
      </c>
      <c r="B338" s="9" t="s">
        <v>24</v>
      </c>
      <c r="C338" s="9" t="s">
        <v>11</v>
      </c>
      <c r="D338" s="9" t="str">
        <f>"王露"</f>
        <v>王露</v>
      </c>
      <c r="E338" s="9" t="str">
        <f t="shared" si="43"/>
        <v>女</v>
      </c>
      <c r="F338" s="9" t="str">
        <f>"63992024042512452695468"</f>
        <v>63992024042512452695468</v>
      </c>
      <c r="G338" s="9" t="str">
        <f t="shared" si="38"/>
        <v>0201</v>
      </c>
      <c r="H338" s="9" t="s">
        <v>12</v>
      </c>
      <c r="I338" s="8"/>
    </row>
    <row r="339" spans="1:9" s="2" customFormat="1" ht="30" customHeight="1">
      <c r="A339" s="8">
        <v>337</v>
      </c>
      <c r="B339" s="9" t="s">
        <v>24</v>
      </c>
      <c r="C339" s="9" t="s">
        <v>11</v>
      </c>
      <c r="D339" s="9" t="str">
        <f>"王兆仪"</f>
        <v>王兆仪</v>
      </c>
      <c r="E339" s="9" t="str">
        <f t="shared" si="43"/>
        <v>女</v>
      </c>
      <c r="F339" s="9" t="str">
        <f>"63992024042511423495249"</f>
        <v>63992024042511423495249</v>
      </c>
      <c r="G339" s="9" t="str">
        <f t="shared" si="38"/>
        <v>0201</v>
      </c>
      <c r="H339" s="9" t="s">
        <v>12</v>
      </c>
      <c r="I339" s="8"/>
    </row>
    <row r="340" spans="1:9" s="2" customFormat="1" ht="30" customHeight="1">
      <c r="A340" s="8">
        <v>338</v>
      </c>
      <c r="B340" s="9" t="s">
        <v>24</v>
      </c>
      <c r="C340" s="9" t="s">
        <v>11</v>
      </c>
      <c r="D340" s="9" t="str">
        <f>"陈皓云"</f>
        <v>陈皓云</v>
      </c>
      <c r="E340" s="9" t="str">
        <f t="shared" si="43"/>
        <v>女</v>
      </c>
      <c r="F340" s="9" t="str">
        <f>"63992024042513131395565"</f>
        <v>63992024042513131395565</v>
      </c>
      <c r="G340" s="9" t="str">
        <f t="shared" si="38"/>
        <v>0201</v>
      </c>
      <c r="H340" s="9" t="s">
        <v>12</v>
      </c>
      <c r="I340" s="8"/>
    </row>
    <row r="341" spans="1:9" s="2" customFormat="1" ht="30" customHeight="1">
      <c r="A341" s="8">
        <v>339</v>
      </c>
      <c r="B341" s="9" t="s">
        <v>24</v>
      </c>
      <c r="C341" s="9" t="s">
        <v>11</v>
      </c>
      <c r="D341" s="9" t="str">
        <f>"符伟珍"</f>
        <v>符伟珍</v>
      </c>
      <c r="E341" s="9" t="str">
        <f t="shared" si="43"/>
        <v>女</v>
      </c>
      <c r="F341" s="9" t="str">
        <f>"63992024042518531397540"</f>
        <v>63992024042518531397540</v>
      </c>
      <c r="G341" s="9" t="str">
        <f t="shared" si="38"/>
        <v>0201</v>
      </c>
      <c r="H341" s="9" t="s">
        <v>12</v>
      </c>
      <c r="I341" s="8"/>
    </row>
    <row r="342" spans="1:9" s="2" customFormat="1" ht="30" customHeight="1">
      <c r="A342" s="8">
        <v>340</v>
      </c>
      <c r="B342" s="9" t="s">
        <v>24</v>
      </c>
      <c r="C342" s="9" t="s">
        <v>11</v>
      </c>
      <c r="D342" s="9" t="str">
        <f>"林晶晶"</f>
        <v>林晶晶</v>
      </c>
      <c r="E342" s="9" t="str">
        <f t="shared" si="43"/>
        <v>女</v>
      </c>
      <c r="F342" s="9" t="str">
        <f>"63992024042522263298131"</f>
        <v>63992024042522263298131</v>
      </c>
      <c r="G342" s="9" t="str">
        <f t="shared" si="38"/>
        <v>0201</v>
      </c>
      <c r="H342" s="9" t="s">
        <v>12</v>
      </c>
      <c r="I342" s="8"/>
    </row>
    <row r="343" spans="1:9" s="2" customFormat="1" ht="30" customHeight="1">
      <c r="A343" s="8">
        <v>341</v>
      </c>
      <c r="B343" s="9" t="s">
        <v>24</v>
      </c>
      <c r="C343" s="9" t="s">
        <v>11</v>
      </c>
      <c r="D343" s="9" t="str">
        <f>"李雪薇"</f>
        <v>李雪薇</v>
      </c>
      <c r="E343" s="9" t="str">
        <f t="shared" si="43"/>
        <v>女</v>
      </c>
      <c r="F343" s="9" t="str">
        <f>"639920240426093255109298"</f>
        <v>639920240426093255109298</v>
      </c>
      <c r="G343" s="9" t="str">
        <f t="shared" si="38"/>
        <v>0201</v>
      </c>
      <c r="H343" s="9" t="s">
        <v>12</v>
      </c>
      <c r="I343" s="8"/>
    </row>
    <row r="344" spans="1:9" s="2" customFormat="1" ht="30" customHeight="1">
      <c r="A344" s="8">
        <v>342</v>
      </c>
      <c r="B344" s="9" t="s">
        <v>24</v>
      </c>
      <c r="C344" s="9" t="s">
        <v>11</v>
      </c>
      <c r="D344" s="9" t="str">
        <f>"黄珂"</f>
        <v>黄珂</v>
      </c>
      <c r="E344" s="9" t="str">
        <f t="shared" si="43"/>
        <v>女</v>
      </c>
      <c r="F344" s="9" t="str">
        <f>"639920240426152018110687"</f>
        <v>639920240426152018110687</v>
      </c>
      <c r="G344" s="9" t="str">
        <f t="shared" si="38"/>
        <v>0201</v>
      </c>
      <c r="H344" s="9" t="s">
        <v>12</v>
      </c>
      <c r="I344" s="8"/>
    </row>
    <row r="345" spans="1:9" s="2" customFormat="1" ht="30" customHeight="1">
      <c r="A345" s="8">
        <v>343</v>
      </c>
      <c r="B345" s="9" t="s">
        <v>24</v>
      </c>
      <c r="C345" s="9" t="s">
        <v>11</v>
      </c>
      <c r="D345" s="9" t="str">
        <f>"杨嫣盈"</f>
        <v>杨嫣盈</v>
      </c>
      <c r="E345" s="9" t="str">
        <f t="shared" si="43"/>
        <v>女</v>
      </c>
      <c r="F345" s="9" t="str">
        <f>"639920240426214335111555"</f>
        <v>639920240426214335111555</v>
      </c>
      <c r="G345" s="9" t="str">
        <f t="shared" si="38"/>
        <v>0201</v>
      </c>
      <c r="H345" s="9" t="s">
        <v>12</v>
      </c>
      <c r="I345" s="8"/>
    </row>
    <row r="346" spans="1:9" s="2" customFormat="1" ht="30" customHeight="1">
      <c r="A346" s="8">
        <v>344</v>
      </c>
      <c r="B346" s="9" t="s">
        <v>24</v>
      </c>
      <c r="C346" s="9" t="s">
        <v>11</v>
      </c>
      <c r="D346" s="9" t="str">
        <f>"陈逢婷"</f>
        <v>陈逢婷</v>
      </c>
      <c r="E346" s="9" t="str">
        <f t="shared" si="43"/>
        <v>女</v>
      </c>
      <c r="F346" s="9" t="str">
        <f>"639920240426220436111588"</f>
        <v>639920240426220436111588</v>
      </c>
      <c r="G346" s="9" t="str">
        <f t="shared" si="38"/>
        <v>0201</v>
      </c>
      <c r="H346" s="9" t="s">
        <v>12</v>
      </c>
      <c r="I346" s="8"/>
    </row>
    <row r="347" spans="1:9" s="2" customFormat="1" ht="30" customHeight="1">
      <c r="A347" s="8">
        <v>345</v>
      </c>
      <c r="B347" s="9" t="s">
        <v>24</v>
      </c>
      <c r="C347" s="9" t="s">
        <v>11</v>
      </c>
      <c r="D347" s="9" t="str">
        <f>"董宇柱"</f>
        <v>董宇柱</v>
      </c>
      <c r="E347" s="9" t="str">
        <f>"男"</f>
        <v>男</v>
      </c>
      <c r="F347" s="9" t="str">
        <f>"639920240427132558112692"</f>
        <v>639920240427132558112692</v>
      </c>
      <c r="G347" s="9" t="str">
        <f t="shared" si="38"/>
        <v>0201</v>
      </c>
      <c r="H347" s="9" t="s">
        <v>12</v>
      </c>
      <c r="I347" s="8"/>
    </row>
    <row r="348" spans="1:9" s="2" customFormat="1" ht="30" customHeight="1">
      <c r="A348" s="8">
        <v>346</v>
      </c>
      <c r="B348" s="9" t="s">
        <v>24</v>
      </c>
      <c r="C348" s="9" t="s">
        <v>11</v>
      </c>
      <c r="D348" s="9" t="str">
        <f>"符亚媚"</f>
        <v>符亚媚</v>
      </c>
      <c r="E348" s="9" t="str">
        <f aca="true" t="shared" si="44" ref="E348:E351">"女"</f>
        <v>女</v>
      </c>
      <c r="F348" s="9" t="str">
        <f>"639920240427153248112973"</f>
        <v>639920240427153248112973</v>
      </c>
      <c r="G348" s="9" t="str">
        <f t="shared" si="38"/>
        <v>0201</v>
      </c>
      <c r="H348" s="9" t="s">
        <v>12</v>
      </c>
      <c r="I348" s="8"/>
    </row>
    <row r="349" spans="1:9" s="2" customFormat="1" ht="30" customHeight="1">
      <c r="A349" s="8">
        <v>347</v>
      </c>
      <c r="B349" s="9" t="s">
        <v>24</v>
      </c>
      <c r="C349" s="9" t="s">
        <v>11</v>
      </c>
      <c r="D349" s="9" t="str">
        <f>"廖晓寒"</f>
        <v>廖晓寒</v>
      </c>
      <c r="E349" s="9" t="str">
        <f t="shared" si="44"/>
        <v>女</v>
      </c>
      <c r="F349" s="9" t="str">
        <f>"639920240426190343111295"</f>
        <v>639920240426190343111295</v>
      </c>
      <c r="G349" s="9" t="str">
        <f t="shared" si="38"/>
        <v>0201</v>
      </c>
      <c r="H349" s="9" t="s">
        <v>12</v>
      </c>
      <c r="I349" s="8"/>
    </row>
    <row r="350" spans="1:9" s="2" customFormat="1" ht="30" customHeight="1">
      <c r="A350" s="8">
        <v>348</v>
      </c>
      <c r="B350" s="9" t="s">
        <v>24</v>
      </c>
      <c r="C350" s="9" t="s">
        <v>11</v>
      </c>
      <c r="D350" s="9" t="str">
        <f>"谭金月"</f>
        <v>谭金月</v>
      </c>
      <c r="E350" s="9" t="str">
        <f t="shared" si="44"/>
        <v>女</v>
      </c>
      <c r="F350" s="9" t="str">
        <f>"639920240427223819113927"</f>
        <v>639920240427223819113927</v>
      </c>
      <c r="G350" s="9" t="str">
        <f t="shared" si="38"/>
        <v>0201</v>
      </c>
      <c r="H350" s="9" t="s">
        <v>12</v>
      </c>
      <c r="I350" s="8"/>
    </row>
    <row r="351" spans="1:9" s="2" customFormat="1" ht="30" customHeight="1">
      <c r="A351" s="8">
        <v>349</v>
      </c>
      <c r="B351" s="9" t="s">
        <v>24</v>
      </c>
      <c r="C351" s="9" t="s">
        <v>11</v>
      </c>
      <c r="D351" s="9" t="str">
        <f>"吴江云"</f>
        <v>吴江云</v>
      </c>
      <c r="E351" s="9" t="str">
        <f t="shared" si="44"/>
        <v>女</v>
      </c>
      <c r="F351" s="9" t="str">
        <f>"639920240428093837114590"</f>
        <v>639920240428093837114590</v>
      </c>
      <c r="G351" s="9" t="str">
        <f t="shared" si="38"/>
        <v>0201</v>
      </c>
      <c r="H351" s="9" t="s">
        <v>12</v>
      </c>
      <c r="I351" s="8"/>
    </row>
    <row r="352" spans="1:9" s="2" customFormat="1" ht="30" customHeight="1">
      <c r="A352" s="8">
        <v>350</v>
      </c>
      <c r="B352" s="9" t="s">
        <v>24</v>
      </c>
      <c r="C352" s="9" t="s">
        <v>11</v>
      </c>
      <c r="D352" s="9" t="str">
        <f>"符运松"</f>
        <v>符运松</v>
      </c>
      <c r="E352" s="9" t="str">
        <f aca="true" t="shared" si="45" ref="E352:E354">"男"</f>
        <v>男</v>
      </c>
      <c r="F352" s="9" t="str">
        <f>"639920240428102720114903"</f>
        <v>639920240428102720114903</v>
      </c>
      <c r="G352" s="9" t="str">
        <f t="shared" si="38"/>
        <v>0201</v>
      </c>
      <c r="H352" s="9" t="s">
        <v>12</v>
      </c>
      <c r="I352" s="8"/>
    </row>
    <row r="353" spans="1:9" s="2" customFormat="1" ht="30" customHeight="1">
      <c r="A353" s="8">
        <v>351</v>
      </c>
      <c r="B353" s="9" t="s">
        <v>24</v>
      </c>
      <c r="C353" s="9" t="s">
        <v>11</v>
      </c>
      <c r="D353" s="9" t="str">
        <f>"邱清时"</f>
        <v>邱清时</v>
      </c>
      <c r="E353" s="9" t="str">
        <f t="shared" si="45"/>
        <v>男</v>
      </c>
      <c r="F353" s="9" t="str">
        <f>"639920240428085804114341"</f>
        <v>639920240428085804114341</v>
      </c>
      <c r="G353" s="9" t="str">
        <f aca="true" t="shared" si="46" ref="G353:G363">"0201"</f>
        <v>0201</v>
      </c>
      <c r="H353" s="9" t="s">
        <v>12</v>
      </c>
      <c r="I353" s="8"/>
    </row>
    <row r="354" spans="1:9" s="2" customFormat="1" ht="30" customHeight="1">
      <c r="A354" s="8">
        <v>352</v>
      </c>
      <c r="B354" s="9" t="s">
        <v>24</v>
      </c>
      <c r="C354" s="9" t="s">
        <v>11</v>
      </c>
      <c r="D354" s="9" t="str">
        <f>"吴广斌"</f>
        <v>吴广斌</v>
      </c>
      <c r="E354" s="9" t="str">
        <f t="shared" si="45"/>
        <v>男</v>
      </c>
      <c r="F354" s="9" t="str">
        <f>"639920240428153554116084"</f>
        <v>639920240428153554116084</v>
      </c>
      <c r="G354" s="9" t="str">
        <f t="shared" si="46"/>
        <v>0201</v>
      </c>
      <c r="H354" s="9" t="s">
        <v>12</v>
      </c>
      <c r="I354" s="8"/>
    </row>
    <row r="355" spans="1:9" s="2" customFormat="1" ht="39.75" customHeight="1">
      <c r="A355" s="8">
        <v>353</v>
      </c>
      <c r="B355" s="9" t="s">
        <v>24</v>
      </c>
      <c r="C355" s="9" t="s">
        <v>11</v>
      </c>
      <c r="D355" s="9" t="str">
        <f>"凡帆"</f>
        <v>凡帆</v>
      </c>
      <c r="E355" s="9" t="str">
        <f aca="true" t="shared" si="47" ref="E355:E363">"女"</f>
        <v>女</v>
      </c>
      <c r="F355" s="9" t="str">
        <f>"639920240428175533116589"</f>
        <v>639920240428175533116589</v>
      </c>
      <c r="G355" s="9" t="str">
        <f t="shared" si="46"/>
        <v>0201</v>
      </c>
      <c r="H355" s="10" t="s">
        <v>15</v>
      </c>
      <c r="I355" s="8"/>
    </row>
    <row r="356" spans="1:9" s="2" customFormat="1" ht="30" customHeight="1">
      <c r="A356" s="8">
        <v>354</v>
      </c>
      <c r="B356" s="9" t="s">
        <v>24</v>
      </c>
      <c r="C356" s="9" t="s">
        <v>11</v>
      </c>
      <c r="D356" s="9" t="str">
        <f>"周晓红"</f>
        <v>周晓红</v>
      </c>
      <c r="E356" s="9" t="str">
        <f t="shared" si="47"/>
        <v>女</v>
      </c>
      <c r="F356" s="9" t="str">
        <f>"63992024041921590652079"</f>
        <v>63992024041921590652079</v>
      </c>
      <c r="G356" s="9" t="str">
        <f t="shared" si="46"/>
        <v>0201</v>
      </c>
      <c r="H356" s="9" t="s">
        <v>12</v>
      </c>
      <c r="I356" s="8"/>
    </row>
    <row r="357" spans="1:9" s="2" customFormat="1" ht="30" customHeight="1">
      <c r="A357" s="8">
        <v>355</v>
      </c>
      <c r="B357" s="9" t="s">
        <v>24</v>
      </c>
      <c r="C357" s="9" t="s">
        <v>11</v>
      </c>
      <c r="D357" s="9" t="str">
        <f>"潘婕"</f>
        <v>潘婕</v>
      </c>
      <c r="E357" s="9" t="str">
        <f t="shared" si="47"/>
        <v>女</v>
      </c>
      <c r="F357" s="9" t="str">
        <f>"639920240428192204116765"</f>
        <v>639920240428192204116765</v>
      </c>
      <c r="G357" s="9" t="str">
        <f t="shared" si="46"/>
        <v>0201</v>
      </c>
      <c r="H357" s="9" t="s">
        <v>12</v>
      </c>
      <c r="I357" s="8"/>
    </row>
    <row r="358" spans="1:9" s="2" customFormat="1" ht="30" customHeight="1">
      <c r="A358" s="8">
        <v>356</v>
      </c>
      <c r="B358" s="9" t="s">
        <v>24</v>
      </c>
      <c r="C358" s="9" t="s">
        <v>11</v>
      </c>
      <c r="D358" s="9" t="str">
        <f>"冯华"</f>
        <v>冯华</v>
      </c>
      <c r="E358" s="9" t="str">
        <f t="shared" si="47"/>
        <v>女</v>
      </c>
      <c r="F358" s="9" t="str">
        <f>"639920240428192200116764"</f>
        <v>639920240428192200116764</v>
      </c>
      <c r="G358" s="9" t="str">
        <f t="shared" si="46"/>
        <v>0201</v>
      </c>
      <c r="H358" s="9" t="s">
        <v>12</v>
      </c>
      <c r="I358" s="8"/>
    </row>
    <row r="359" spans="1:9" s="2" customFormat="1" ht="30" customHeight="1">
      <c r="A359" s="8">
        <v>357</v>
      </c>
      <c r="B359" s="9" t="s">
        <v>24</v>
      </c>
      <c r="C359" s="9" t="s">
        <v>11</v>
      </c>
      <c r="D359" s="9" t="str">
        <f>"许榕峨"</f>
        <v>许榕峨</v>
      </c>
      <c r="E359" s="9" t="str">
        <f t="shared" si="47"/>
        <v>女</v>
      </c>
      <c r="F359" s="9" t="str">
        <f>"639920240428104131114993"</f>
        <v>639920240428104131114993</v>
      </c>
      <c r="G359" s="9" t="str">
        <f t="shared" si="46"/>
        <v>0201</v>
      </c>
      <c r="H359" s="9" t="s">
        <v>12</v>
      </c>
      <c r="I359" s="8"/>
    </row>
    <row r="360" spans="1:9" s="2" customFormat="1" ht="30" customHeight="1">
      <c r="A360" s="8">
        <v>358</v>
      </c>
      <c r="B360" s="9" t="s">
        <v>24</v>
      </c>
      <c r="C360" s="9" t="s">
        <v>11</v>
      </c>
      <c r="D360" s="9" t="str">
        <f>"葛悦"</f>
        <v>葛悦</v>
      </c>
      <c r="E360" s="9" t="str">
        <f t="shared" si="47"/>
        <v>女</v>
      </c>
      <c r="F360" s="9" t="str">
        <f>"639920240428164830116375"</f>
        <v>639920240428164830116375</v>
      </c>
      <c r="G360" s="9" t="str">
        <f t="shared" si="46"/>
        <v>0201</v>
      </c>
      <c r="H360" s="9" t="s">
        <v>12</v>
      </c>
      <c r="I360" s="8"/>
    </row>
    <row r="361" spans="1:9" s="2" customFormat="1" ht="30" customHeight="1">
      <c r="A361" s="8">
        <v>359</v>
      </c>
      <c r="B361" s="9" t="s">
        <v>24</v>
      </c>
      <c r="C361" s="9" t="s">
        <v>11</v>
      </c>
      <c r="D361" s="9" t="str">
        <f>"陈梦君"</f>
        <v>陈梦君</v>
      </c>
      <c r="E361" s="9" t="str">
        <f t="shared" si="47"/>
        <v>女</v>
      </c>
      <c r="F361" s="9" t="str">
        <f>"639920240429111945118390"</f>
        <v>639920240429111945118390</v>
      </c>
      <c r="G361" s="9" t="str">
        <f t="shared" si="46"/>
        <v>0201</v>
      </c>
      <c r="H361" s="9" t="s">
        <v>12</v>
      </c>
      <c r="I361" s="8"/>
    </row>
    <row r="362" spans="1:9" s="2" customFormat="1" ht="30" customHeight="1">
      <c r="A362" s="8">
        <v>360</v>
      </c>
      <c r="B362" s="9" t="s">
        <v>24</v>
      </c>
      <c r="C362" s="9" t="s">
        <v>11</v>
      </c>
      <c r="D362" s="9" t="str">
        <f>"符文荟"</f>
        <v>符文荟</v>
      </c>
      <c r="E362" s="9" t="str">
        <f t="shared" si="47"/>
        <v>女</v>
      </c>
      <c r="F362" s="9" t="str">
        <f>"639920240429114840118535"</f>
        <v>639920240429114840118535</v>
      </c>
      <c r="G362" s="9" t="str">
        <f t="shared" si="46"/>
        <v>0201</v>
      </c>
      <c r="H362" s="9" t="s">
        <v>12</v>
      </c>
      <c r="I362" s="8"/>
    </row>
    <row r="363" spans="1:9" s="2" customFormat="1" ht="30" customHeight="1">
      <c r="A363" s="8">
        <v>361</v>
      </c>
      <c r="B363" s="9" t="s">
        <v>24</v>
      </c>
      <c r="C363" s="9" t="s">
        <v>11</v>
      </c>
      <c r="D363" s="9" t="str">
        <f>"温芳艳"</f>
        <v>温芳艳</v>
      </c>
      <c r="E363" s="9" t="str">
        <f t="shared" si="47"/>
        <v>女</v>
      </c>
      <c r="F363" s="9" t="str">
        <f>"639920240429133115118882"</f>
        <v>639920240429133115118882</v>
      </c>
      <c r="G363" s="9" t="str">
        <f t="shared" si="46"/>
        <v>0201</v>
      </c>
      <c r="H363" s="9" t="s">
        <v>12</v>
      </c>
      <c r="I363" s="8"/>
    </row>
    <row r="364" spans="1:9" s="2" customFormat="1" ht="30" customHeight="1">
      <c r="A364" s="8">
        <v>362</v>
      </c>
      <c r="B364" s="9" t="s">
        <v>24</v>
      </c>
      <c r="C364" s="9" t="s">
        <v>13</v>
      </c>
      <c r="D364" s="9" t="str">
        <f>"王琪"</f>
        <v>王琪</v>
      </c>
      <c r="E364" s="9" t="str">
        <f aca="true" t="shared" si="48" ref="E364:E368">"男"</f>
        <v>男</v>
      </c>
      <c r="F364" s="9" t="str">
        <f>"63992024041921075151983"</f>
        <v>63992024041921075151983</v>
      </c>
      <c r="G364" s="9" t="str">
        <f aca="true" t="shared" si="49" ref="G364:G392">"0202"</f>
        <v>0202</v>
      </c>
      <c r="H364" s="9" t="s">
        <v>12</v>
      </c>
      <c r="I364" s="8"/>
    </row>
    <row r="365" spans="1:9" s="2" customFormat="1" ht="30" customHeight="1">
      <c r="A365" s="8">
        <v>363</v>
      </c>
      <c r="B365" s="9" t="s">
        <v>24</v>
      </c>
      <c r="C365" s="9" t="s">
        <v>13</v>
      </c>
      <c r="D365" s="9" t="str">
        <f>"程松"</f>
        <v>程松</v>
      </c>
      <c r="E365" s="9" t="str">
        <f t="shared" si="48"/>
        <v>男</v>
      </c>
      <c r="F365" s="9" t="str">
        <f>"63992024042011585152599"</f>
        <v>63992024042011585152599</v>
      </c>
      <c r="G365" s="9" t="str">
        <f t="shared" si="49"/>
        <v>0202</v>
      </c>
      <c r="H365" s="9" t="s">
        <v>12</v>
      </c>
      <c r="I365" s="8"/>
    </row>
    <row r="366" spans="1:9" s="2" customFormat="1" ht="30" customHeight="1">
      <c r="A366" s="8">
        <v>364</v>
      </c>
      <c r="B366" s="9" t="s">
        <v>24</v>
      </c>
      <c r="C366" s="9" t="s">
        <v>13</v>
      </c>
      <c r="D366" s="9" t="str">
        <f>"董德玲"</f>
        <v>董德玲</v>
      </c>
      <c r="E366" s="9" t="str">
        <f aca="true" t="shared" si="50" ref="E366:E371">"女"</f>
        <v>女</v>
      </c>
      <c r="F366" s="9" t="str">
        <f>"63992024042022002756636"</f>
        <v>63992024042022002756636</v>
      </c>
      <c r="G366" s="9" t="str">
        <f t="shared" si="49"/>
        <v>0202</v>
      </c>
      <c r="H366" s="9" t="s">
        <v>12</v>
      </c>
      <c r="I366" s="8"/>
    </row>
    <row r="367" spans="1:9" s="2" customFormat="1" ht="39.75" customHeight="1">
      <c r="A367" s="8">
        <v>365</v>
      </c>
      <c r="B367" s="9" t="s">
        <v>24</v>
      </c>
      <c r="C367" s="9" t="s">
        <v>13</v>
      </c>
      <c r="D367" s="9" t="str">
        <f>"王圣浩"</f>
        <v>王圣浩</v>
      </c>
      <c r="E367" s="9" t="str">
        <f t="shared" si="48"/>
        <v>男</v>
      </c>
      <c r="F367" s="9" t="str">
        <f>"63992024042112083357155"</f>
        <v>63992024042112083357155</v>
      </c>
      <c r="G367" s="9" t="str">
        <f t="shared" si="49"/>
        <v>0202</v>
      </c>
      <c r="H367" s="10" t="s">
        <v>15</v>
      </c>
      <c r="I367" s="8"/>
    </row>
    <row r="368" spans="1:9" s="2" customFormat="1" ht="30" customHeight="1">
      <c r="A368" s="8">
        <v>366</v>
      </c>
      <c r="B368" s="9" t="s">
        <v>24</v>
      </c>
      <c r="C368" s="9" t="s">
        <v>13</v>
      </c>
      <c r="D368" s="9" t="str">
        <f>"陈荣才"</f>
        <v>陈荣才</v>
      </c>
      <c r="E368" s="9" t="str">
        <f t="shared" si="48"/>
        <v>男</v>
      </c>
      <c r="F368" s="9" t="str">
        <f>"63992024042117494757670"</f>
        <v>63992024042117494757670</v>
      </c>
      <c r="G368" s="9" t="str">
        <f t="shared" si="49"/>
        <v>0202</v>
      </c>
      <c r="H368" s="9" t="s">
        <v>12</v>
      </c>
      <c r="I368" s="8"/>
    </row>
    <row r="369" spans="1:9" s="2" customFormat="1" ht="30" customHeight="1">
      <c r="A369" s="8">
        <v>367</v>
      </c>
      <c r="B369" s="9" t="s">
        <v>24</v>
      </c>
      <c r="C369" s="9" t="s">
        <v>13</v>
      </c>
      <c r="D369" s="9" t="str">
        <f>"陈莹"</f>
        <v>陈莹</v>
      </c>
      <c r="E369" s="9" t="str">
        <f t="shared" si="50"/>
        <v>女</v>
      </c>
      <c r="F369" s="9" t="str">
        <f>"63992024042122063057990"</f>
        <v>63992024042122063057990</v>
      </c>
      <c r="G369" s="9" t="str">
        <f t="shared" si="49"/>
        <v>0202</v>
      </c>
      <c r="H369" s="9" t="s">
        <v>12</v>
      </c>
      <c r="I369" s="8"/>
    </row>
    <row r="370" spans="1:9" s="2" customFormat="1" ht="30" customHeight="1">
      <c r="A370" s="8">
        <v>368</v>
      </c>
      <c r="B370" s="9" t="s">
        <v>24</v>
      </c>
      <c r="C370" s="9" t="s">
        <v>13</v>
      </c>
      <c r="D370" s="9" t="str">
        <f>"李琳阳"</f>
        <v>李琳阳</v>
      </c>
      <c r="E370" s="9" t="str">
        <f t="shared" si="50"/>
        <v>女</v>
      </c>
      <c r="F370" s="9" t="str">
        <f>"63992024042216573266304"</f>
        <v>63992024042216573266304</v>
      </c>
      <c r="G370" s="9" t="str">
        <f t="shared" si="49"/>
        <v>0202</v>
      </c>
      <c r="H370" s="9" t="s">
        <v>12</v>
      </c>
      <c r="I370" s="8"/>
    </row>
    <row r="371" spans="1:9" s="2" customFormat="1" ht="30" customHeight="1">
      <c r="A371" s="8">
        <v>369</v>
      </c>
      <c r="B371" s="9" t="s">
        <v>24</v>
      </c>
      <c r="C371" s="9" t="s">
        <v>13</v>
      </c>
      <c r="D371" s="9" t="str">
        <f>"符颖竹"</f>
        <v>符颖竹</v>
      </c>
      <c r="E371" s="9" t="str">
        <f t="shared" si="50"/>
        <v>女</v>
      </c>
      <c r="F371" s="9" t="str">
        <f>"63992024042215513365803"</f>
        <v>63992024042215513365803</v>
      </c>
      <c r="G371" s="9" t="str">
        <f t="shared" si="49"/>
        <v>0202</v>
      </c>
      <c r="H371" s="9" t="s">
        <v>12</v>
      </c>
      <c r="I371" s="8"/>
    </row>
    <row r="372" spans="1:9" s="2" customFormat="1" ht="30" customHeight="1">
      <c r="A372" s="8">
        <v>370</v>
      </c>
      <c r="B372" s="9" t="s">
        <v>24</v>
      </c>
      <c r="C372" s="9" t="s">
        <v>13</v>
      </c>
      <c r="D372" s="9" t="str">
        <f>"曾根生"</f>
        <v>曾根生</v>
      </c>
      <c r="E372" s="9" t="str">
        <f aca="true" t="shared" si="51" ref="E372:E377">"男"</f>
        <v>男</v>
      </c>
      <c r="F372" s="9" t="str">
        <f>"63992024042317385177368"</f>
        <v>63992024042317385177368</v>
      </c>
      <c r="G372" s="9" t="str">
        <f t="shared" si="49"/>
        <v>0202</v>
      </c>
      <c r="H372" s="9" t="s">
        <v>12</v>
      </c>
      <c r="I372" s="8"/>
    </row>
    <row r="373" spans="1:9" s="2" customFormat="1" ht="30" customHeight="1">
      <c r="A373" s="8">
        <v>371</v>
      </c>
      <c r="B373" s="9" t="s">
        <v>24</v>
      </c>
      <c r="C373" s="9" t="s">
        <v>13</v>
      </c>
      <c r="D373" s="9" t="str">
        <f>"李朝阳"</f>
        <v>李朝阳</v>
      </c>
      <c r="E373" s="9" t="str">
        <f aca="true" t="shared" si="52" ref="E373:E378">"女"</f>
        <v>女</v>
      </c>
      <c r="F373" s="9" t="str">
        <f>"63992024042323143379962"</f>
        <v>63992024042323143379962</v>
      </c>
      <c r="G373" s="9" t="str">
        <f t="shared" si="49"/>
        <v>0202</v>
      </c>
      <c r="H373" s="9" t="s">
        <v>12</v>
      </c>
      <c r="I373" s="8"/>
    </row>
    <row r="374" spans="1:9" s="2" customFormat="1" ht="30" customHeight="1">
      <c r="A374" s="8">
        <v>372</v>
      </c>
      <c r="B374" s="9" t="s">
        <v>24</v>
      </c>
      <c r="C374" s="9" t="s">
        <v>13</v>
      </c>
      <c r="D374" s="9" t="str">
        <f>"符海琴"</f>
        <v>符海琴</v>
      </c>
      <c r="E374" s="9" t="str">
        <f t="shared" si="52"/>
        <v>女</v>
      </c>
      <c r="F374" s="9" t="str">
        <f>"63992024042415084789485"</f>
        <v>63992024042415084789485</v>
      </c>
      <c r="G374" s="9" t="str">
        <f t="shared" si="49"/>
        <v>0202</v>
      </c>
      <c r="H374" s="9" t="s">
        <v>12</v>
      </c>
      <c r="I374" s="8"/>
    </row>
    <row r="375" spans="1:9" s="2" customFormat="1" ht="30" customHeight="1">
      <c r="A375" s="8">
        <v>373</v>
      </c>
      <c r="B375" s="9" t="s">
        <v>24</v>
      </c>
      <c r="C375" s="9" t="s">
        <v>13</v>
      </c>
      <c r="D375" s="9" t="str">
        <f>"田丹"</f>
        <v>田丹</v>
      </c>
      <c r="E375" s="9" t="str">
        <f t="shared" si="51"/>
        <v>男</v>
      </c>
      <c r="F375" s="9" t="str">
        <f>"63992024042415115389551"</f>
        <v>63992024042415115389551</v>
      </c>
      <c r="G375" s="9" t="str">
        <f t="shared" si="49"/>
        <v>0202</v>
      </c>
      <c r="H375" s="9" t="s">
        <v>12</v>
      </c>
      <c r="I375" s="8"/>
    </row>
    <row r="376" spans="1:9" s="2" customFormat="1" ht="30" customHeight="1">
      <c r="A376" s="8">
        <v>374</v>
      </c>
      <c r="B376" s="9" t="s">
        <v>24</v>
      </c>
      <c r="C376" s="9" t="s">
        <v>13</v>
      </c>
      <c r="D376" s="9" t="str">
        <f>"陈盛平"</f>
        <v>陈盛平</v>
      </c>
      <c r="E376" s="9" t="str">
        <f t="shared" si="51"/>
        <v>男</v>
      </c>
      <c r="F376" s="9" t="str">
        <f>"63992024042417553791806"</f>
        <v>63992024042417553791806</v>
      </c>
      <c r="G376" s="9" t="str">
        <f t="shared" si="49"/>
        <v>0202</v>
      </c>
      <c r="H376" s="9" t="s">
        <v>12</v>
      </c>
      <c r="I376" s="8"/>
    </row>
    <row r="377" spans="1:9" s="2" customFormat="1" ht="30" customHeight="1">
      <c r="A377" s="8">
        <v>375</v>
      </c>
      <c r="B377" s="9" t="s">
        <v>24</v>
      </c>
      <c r="C377" s="9" t="s">
        <v>13</v>
      </c>
      <c r="D377" s="9" t="str">
        <f>"邓旺"</f>
        <v>邓旺</v>
      </c>
      <c r="E377" s="9" t="str">
        <f t="shared" si="51"/>
        <v>男</v>
      </c>
      <c r="F377" s="9" t="str">
        <f>"63992024042514421495873"</f>
        <v>63992024042514421495873</v>
      </c>
      <c r="G377" s="9" t="str">
        <f t="shared" si="49"/>
        <v>0202</v>
      </c>
      <c r="H377" s="9" t="s">
        <v>12</v>
      </c>
      <c r="I377" s="8"/>
    </row>
    <row r="378" spans="1:9" s="2" customFormat="1" ht="30" customHeight="1">
      <c r="A378" s="8">
        <v>376</v>
      </c>
      <c r="B378" s="9" t="s">
        <v>24</v>
      </c>
      <c r="C378" s="9" t="s">
        <v>13</v>
      </c>
      <c r="D378" s="9" t="str">
        <f>"黄小琼"</f>
        <v>黄小琼</v>
      </c>
      <c r="E378" s="9" t="str">
        <f t="shared" si="52"/>
        <v>女</v>
      </c>
      <c r="F378" s="9" t="str">
        <f>"63992024041917124251502"</f>
        <v>63992024041917124251502</v>
      </c>
      <c r="G378" s="9" t="str">
        <f t="shared" si="49"/>
        <v>0202</v>
      </c>
      <c r="H378" s="9" t="s">
        <v>12</v>
      </c>
      <c r="I378" s="8"/>
    </row>
    <row r="379" spans="1:9" s="2" customFormat="1" ht="30" customHeight="1">
      <c r="A379" s="8">
        <v>377</v>
      </c>
      <c r="B379" s="9" t="s">
        <v>24</v>
      </c>
      <c r="C379" s="9" t="s">
        <v>13</v>
      </c>
      <c r="D379" s="9" t="str">
        <f>"吴伟幸"</f>
        <v>吴伟幸</v>
      </c>
      <c r="E379" s="9" t="str">
        <f aca="true" t="shared" si="53" ref="E379:E382">"男"</f>
        <v>男</v>
      </c>
      <c r="F379" s="9" t="str">
        <f>"63992024042517553397413"</f>
        <v>63992024042517553397413</v>
      </c>
      <c r="G379" s="9" t="str">
        <f t="shared" si="49"/>
        <v>0202</v>
      </c>
      <c r="H379" s="9" t="s">
        <v>12</v>
      </c>
      <c r="I379" s="8"/>
    </row>
    <row r="380" spans="1:9" s="2" customFormat="1" ht="30" customHeight="1">
      <c r="A380" s="8">
        <v>378</v>
      </c>
      <c r="B380" s="9" t="s">
        <v>24</v>
      </c>
      <c r="C380" s="9" t="s">
        <v>13</v>
      </c>
      <c r="D380" s="9" t="str">
        <f>"冯秋梅"</f>
        <v>冯秋梅</v>
      </c>
      <c r="E380" s="9" t="str">
        <f aca="true" t="shared" si="54" ref="E380:E385">"女"</f>
        <v>女</v>
      </c>
      <c r="F380" s="9" t="str">
        <f>"63992024042520532997858"</f>
        <v>63992024042520532997858</v>
      </c>
      <c r="G380" s="9" t="str">
        <f t="shared" si="49"/>
        <v>0202</v>
      </c>
      <c r="H380" s="9" t="s">
        <v>12</v>
      </c>
      <c r="I380" s="8"/>
    </row>
    <row r="381" spans="1:9" s="2" customFormat="1" ht="30" customHeight="1">
      <c r="A381" s="8">
        <v>379</v>
      </c>
      <c r="B381" s="9" t="s">
        <v>24</v>
      </c>
      <c r="C381" s="9" t="s">
        <v>13</v>
      </c>
      <c r="D381" s="9" t="str">
        <f>"刘咏"</f>
        <v>刘咏</v>
      </c>
      <c r="E381" s="9" t="str">
        <f t="shared" si="53"/>
        <v>男</v>
      </c>
      <c r="F381" s="9" t="str">
        <f>"639920240426110059109741"</f>
        <v>639920240426110059109741</v>
      </c>
      <c r="G381" s="9" t="str">
        <f t="shared" si="49"/>
        <v>0202</v>
      </c>
      <c r="H381" s="9" t="s">
        <v>12</v>
      </c>
      <c r="I381" s="8"/>
    </row>
    <row r="382" spans="1:9" s="2" customFormat="1" ht="30" customHeight="1">
      <c r="A382" s="8">
        <v>380</v>
      </c>
      <c r="B382" s="9" t="s">
        <v>24</v>
      </c>
      <c r="C382" s="9" t="s">
        <v>13</v>
      </c>
      <c r="D382" s="9" t="str">
        <f>"曾灵"</f>
        <v>曾灵</v>
      </c>
      <c r="E382" s="9" t="str">
        <f t="shared" si="53"/>
        <v>男</v>
      </c>
      <c r="F382" s="9" t="str">
        <f>"63992024041920111151870"</f>
        <v>63992024041920111151870</v>
      </c>
      <c r="G382" s="9" t="str">
        <f t="shared" si="49"/>
        <v>0202</v>
      </c>
      <c r="H382" s="9" t="s">
        <v>12</v>
      </c>
      <c r="I382" s="8"/>
    </row>
    <row r="383" spans="1:9" s="2" customFormat="1" ht="30" customHeight="1">
      <c r="A383" s="8">
        <v>381</v>
      </c>
      <c r="B383" s="9" t="s">
        <v>24</v>
      </c>
      <c r="C383" s="9" t="s">
        <v>13</v>
      </c>
      <c r="D383" s="9" t="str">
        <f>"陈小艳"</f>
        <v>陈小艳</v>
      </c>
      <c r="E383" s="9" t="str">
        <f t="shared" si="54"/>
        <v>女</v>
      </c>
      <c r="F383" s="9" t="str">
        <f>"639920240426141058110393"</f>
        <v>639920240426141058110393</v>
      </c>
      <c r="G383" s="9" t="str">
        <f t="shared" si="49"/>
        <v>0202</v>
      </c>
      <c r="H383" s="9" t="s">
        <v>12</v>
      </c>
      <c r="I383" s="8"/>
    </row>
    <row r="384" spans="1:9" s="2" customFormat="1" ht="30" customHeight="1">
      <c r="A384" s="8">
        <v>382</v>
      </c>
      <c r="B384" s="9" t="s">
        <v>24</v>
      </c>
      <c r="C384" s="9" t="s">
        <v>13</v>
      </c>
      <c r="D384" s="9" t="str">
        <f>"李正兰"</f>
        <v>李正兰</v>
      </c>
      <c r="E384" s="9" t="str">
        <f t="shared" si="54"/>
        <v>女</v>
      </c>
      <c r="F384" s="9" t="str">
        <f>"639920240426144046110511"</f>
        <v>639920240426144046110511</v>
      </c>
      <c r="G384" s="9" t="str">
        <f t="shared" si="49"/>
        <v>0202</v>
      </c>
      <c r="H384" s="9" t="s">
        <v>12</v>
      </c>
      <c r="I384" s="8"/>
    </row>
    <row r="385" spans="1:9" s="2" customFormat="1" ht="30" customHeight="1">
      <c r="A385" s="8">
        <v>383</v>
      </c>
      <c r="B385" s="9" t="s">
        <v>24</v>
      </c>
      <c r="C385" s="9" t="s">
        <v>13</v>
      </c>
      <c r="D385" s="9" t="str">
        <f>"占燕萍"</f>
        <v>占燕萍</v>
      </c>
      <c r="E385" s="9" t="str">
        <f t="shared" si="54"/>
        <v>女</v>
      </c>
      <c r="F385" s="9" t="str">
        <f>"639920240426200027111390"</f>
        <v>639920240426200027111390</v>
      </c>
      <c r="G385" s="9" t="str">
        <f t="shared" si="49"/>
        <v>0202</v>
      </c>
      <c r="H385" s="9" t="s">
        <v>12</v>
      </c>
      <c r="I385" s="8"/>
    </row>
    <row r="386" spans="1:9" s="2" customFormat="1" ht="30" customHeight="1">
      <c r="A386" s="8">
        <v>384</v>
      </c>
      <c r="B386" s="9" t="s">
        <v>24</v>
      </c>
      <c r="C386" s="9" t="s">
        <v>13</v>
      </c>
      <c r="D386" s="9" t="str">
        <f>"薛福增"</f>
        <v>薛福增</v>
      </c>
      <c r="E386" s="9" t="str">
        <f>"男"</f>
        <v>男</v>
      </c>
      <c r="F386" s="9" t="str">
        <f>"639920240426202912111438"</f>
        <v>639920240426202912111438</v>
      </c>
      <c r="G386" s="9" t="str">
        <f t="shared" si="49"/>
        <v>0202</v>
      </c>
      <c r="H386" s="9" t="s">
        <v>12</v>
      </c>
      <c r="I386" s="8"/>
    </row>
    <row r="387" spans="1:9" s="2" customFormat="1" ht="30" customHeight="1">
      <c r="A387" s="8">
        <v>385</v>
      </c>
      <c r="B387" s="9" t="s">
        <v>24</v>
      </c>
      <c r="C387" s="9" t="s">
        <v>13</v>
      </c>
      <c r="D387" s="9" t="str">
        <f>"莫采彬"</f>
        <v>莫采彬</v>
      </c>
      <c r="E387" s="9" t="str">
        <f aca="true" t="shared" si="55" ref="E387:E390">"女"</f>
        <v>女</v>
      </c>
      <c r="F387" s="9" t="str">
        <f>"639920240426203437111451"</f>
        <v>639920240426203437111451</v>
      </c>
      <c r="G387" s="9" t="str">
        <f t="shared" si="49"/>
        <v>0202</v>
      </c>
      <c r="H387" s="9" t="s">
        <v>12</v>
      </c>
      <c r="I387" s="8"/>
    </row>
    <row r="388" spans="1:9" s="2" customFormat="1" ht="30" customHeight="1">
      <c r="A388" s="8">
        <v>386</v>
      </c>
      <c r="B388" s="9" t="s">
        <v>24</v>
      </c>
      <c r="C388" s="9" t="s">
        <v>13</v>
      </c>
      <c r="D388" s="9" t="str">
        <f>"王春妹"</f>
        <v>王春妹</v>
      </c>
      <c r="E388" s="9" t="str">
        <f t="shared" si="55"/>
        <v>女</v>
      </c>
      <c r="F388" s="9" t="str">
        <f>"639920240427095630112099"</f>
        <v>639920240427095630112099</v>
      </c>
      <c r="G388" s="9" t="str">
        <f t="shared" si="49"/>
        <v>0202</v>
      </c>
      <c r="H388" s="9" t="s">
        <v>12</v>
      </c>
      <c r="I388" s="8"/>
    </row>
    <row r="389" spans="1:9" s="2" customFormat="1" ht="30" customHeight="1">
      <c r="A389" s="8">
        <v>387</v>
      </c>
      <c r="B389" s="9" t="s">
        <v>24</v>
      </c>
      <c r="C389" s="9" t="s">
        <v>13</v>
      </c>
      <c r="D389" s="9" t="str">
        <f>"张丽"</f>
        <v>张丽</v>
      </c>
      <c r="E389" s="9" t="str">
        <f t="shared" si="55"/>
        <v>女</v>
      </c>
      <c r="F389" s="9" t="str">
        <f>"639920240427123951112581"</f>
        <v>639920240427123951112581</v>
      </c>
      <c r="G389" s="9" t="str">
        <f t="shared" si="49"/>
        <v>0202</v>
      </c>
      <c r="H389" s="9" t="s">
        <v>12</v>
      </c>
      <c r="I389" s="8"/>
    </row>
    <row r="390" spans="1:9" s="2" customFormat="1" ht="30" customHeight="1">
      <c r="A390" s="8">
        <v>388</v>
      </c>
      <c r="B390" s="9" t="s">
        <v>24</v>
      </c>
      <c r="C390" s="9" t="s">
        <v>13</v>
      </c>
      <c r="D390" s="9" t="str">
        <f>"何儿"</f>
        <v>何儿</v>
      </c>
      <c r="E390" s="9" t="str">
        <f t="shared" si="55"/>
        <v>女</v>
      </c>
      <c r="F390" s="9" t="str">
        <f>"639920240427153508112974"</f>
        <v>639920240427153508112974</v>
      </c>
      <c r="G390" s="9" t="str">
        <f t="shared" si="49"/>
        <v>0202</v>
      </c>
      <c r="H390" s="9" t="s">
        <v>12</v>
      </c>
      <c r="I390" s="8"/>
    </row>
    <row r="391" spans="1:9" s="2" customFormat="1" ht="30" customHeight="1">
      <c r="A391" s="8">
        <v>389</v>
      </c>
      <c r="B391" s="9" t="s">
        <v>24</v>
      </c>
      <c r="C391" s="9" t="s">
        <v>13</v>
      </c>
      <c r="D391" s="9" t="str">
        <f>"钟教军"</f>
        <v>钟教军</v>
      </c>
      <c r="E391" s="9" t="str">
        <f>"男"</f>
        <v>男</v>
      </c>
      <c r="F391" s="9" t="str">
        <f>"639920240427181555113416"</f>
        <v>639920240427181555113416</v>
      </c>
      <c r="G391" s="9" t="str">
        <f t="shared" si="49"/>
        <v>0202</v>
      </c>
      <c r="H391" s="9" t="s">
        <v>12</v>
      </c>
      <c r="I391" s="8"/>
    </row>
    <row r="392" spans="1:9" s="2" customFormat="1" ht="30" customHeight="1">
      <c r="A392" s="8">
        <v>390</v>
      </c>
      <c r="B392" s="9" t="s">
        <v>24</v>
      </c>
      <c r="C392" s="9" t="s">
        <v>13</v>
      </c>
      <c r="D392" s="9" t="str">
        <f>"罗振彪"</f>
        <v>罗振彪</v>
      </c>
      <c r="E392" s="9" t="str">
        <f>"男"</f>
        <v>男</v>
      </c>
      <c r="F392" s="9" t="str">
        <f>"639920240427193711113559"</f>
        <v>639920240427193711113559</v>
      </c>
      <c r="G392" s="9" t="str">
        <f t="shared" si="49"/>
        <v>0202</v>
      </c>
      <c r="H392" s="9" t="s">
        <v>12</v>
      </c>
      <c r="I392" s="8"/>
    </row>
    <row r="393" spans="1:9" s="2" customFormat="1" ht="30" customHeight="1">
      <c r="A393" s="8">
        <v>391</v>
      </c>
      <c r="B393" s="9" t="s">
        <v>24</v>
      </c>
      <c r="C393" s="9" t="s">
        <v>14</v>
      </c>
      <c r="D393" s="9" t="str">
        <f>"龙虹晓"</f>
        <v>龙虹晓</v>
      </c>
      <c r="E393" s="9" t="str">
        <f aca="true" t="shared" si="56" ref="E393:E405">"女"</f>
        <v>女</v>
      </c>
      <c r="F393" s="9" t="str">
        <f>"63992024041918495651708"</f>
        <v>63992024041918495651708</v>
      </c>
      <c r="G393" s="9" t="str">
        <f aca="true" t="shared" si="57" ref="G393:G414">"0203"</f>
        <v>0203</v>
      </c>
      <c r="H393" s="9" t="s">
        <v>12</v>
      </c>
      <c r="I393" s="8"/>
    </row>
    <row r="394" spans="1:9" s="2" customFormat="1" ht="30" customHeight="1">
      <c r="A394" s="8">
        <v>392</v>
      </c>
      <c r="B394" s="9" t="s">
        <v>24</v>
      </c>
      <c r="C394" s="9" t="s">
        <v>14</v>
      </c>
      <c r="D394" s="9" t="str">
        <f>"曾翠妍"</f>
        <v>曾翠妍</v>
      </c>
      <c r="E394" s="9" t="str">
        <f t="shared" si="56"/>
        <v>女</v>
      </c>
      <c r="F394" s="9" t="str">
        <f>"63992024042120505357879"</f>
        <v>63992024042120505357879</v>
      </c>
      <c r="G394" s="9" t="str">
        <f t="shared" si="57"/>
        <v>0203</v>
      </c>
      <c r="H394" s="9" t="s">
        <v>12</v>
      </c>
      <c r="I394" s="8"/>
    </row>
    <row r="395" spans="1:9" s="2" customFormat="1" ht="30" customHeight="1">
      <c r="A395" s="8">
        <v>393</v>
      </c>
      <c r="B395" s="9" t="s">
        <v>24</v>
      </c>
      <c r="C395" s="9" t="s">
        <v>14</v>
      </c>
      <c r="D395" s="9" t="str">
        <f>"古婷婷"</f>
        <v>古婷婷</v>
      </c>
      <c r="E395" s="9" t="str">
        <f t="shared" si="56"/>
        <v>女</v>
      </c>
      <c r="F395" s="9" t="str">
        <f>"63992024042210000459711"</f>
        <v>63992024042210000459711</v>
      </c>
      <c r="G395" s="9" t="str">
        <f t="shared" si="57"/>
        <v>0203</v>
      </c>
      <c r="H395" s="9" t="s">
        <v>12</v>
      </c>
      <c r="I395" s="8"/>
    </row>
    <row r="396" spans="1:9" s="2" customFormat="1" ht="30" customHeight="1">
      <c r="A396" s="8">
        <v>394</v>
      </c>
      <c r="B396" s="9" t="s">
        <v>24</v>
      </c>
      <c r="C396" s="9" t="s">
        <v>14</v>
      </c>
      <c r="D396" s="9" t="str">
        <f>"符欣怡"</f>
        <v>符欣怡</v>
      </c>
      <c r="E396" s="9" t="str">
        <f t="shared" si="56"/>
        <v>女</v>
      </c>
      <c r="F396" s="9" t="str">
        <f>"63992024042219292567266"</f>
        <v>63992024042219292567266</v>
      </c>
      <c r="G396" s="9" t="str">
        <f t="shared" si="57"/>
        <v>0203</v>
      </c>
      <c r="H396" s="9" t="s">
        <v>12</v>
      </c>
      <c r="I396" s="8"/>
    </row>
    <row r="397" spans="1:9" s="2" customFormat="1" ht="30" customHeight="1">
      <c r="A397" s="8">
        <v>395</v>
      </c>
      <c r="B397" s="9" t="s">
        <v>24</v>
      </c>
      <c r="C397" s="9" t="s">
        <v>14</v>
      </c>
      <c r="D397" s="9" t="str">
        <f>"郭惠莲"</f>
        <v>郭惠莲</v>
      </c>
      <c r="E397" s="9" t="str">
        <f t="shared" si="56"/>
        <v>女</v>
      </c>
      <c r="F397" s="9" t="str">
        <f>"63992024042307533068739"</f>
        <v>63992024042307533068739</v>
      </c>
      <c r="G397" s="9" t="str">
        <f t="shared" si="57"/>
        <v>0203</v>
      </c>
      <c r="H397" s="9" t="s">
        <v>12</v>
      </c>
      <c r="I397" s="8"/>
    </row>
    <row r="398" spans="1:9" s="2" customFormat="1" ht="30" customHeight="1">
      <c r="A398" s="8">
        <v>396</v>
      </c>
      <c r="B398" s="9" t="s">
        <v>24</v>
      </c>
      <c r="C398" s="9" t="s">
        <v>14</v>
      </c>
      <c r="D398" s="9" t="str">
        <f>"王楠"</f>
        <v>王楠</v>
      </c>
      <c r="E398" s="9" t="str">
        <f t="shared" si="56"/>
        <v>女</v>
      </c>
      <c r="F398" s="9" t="str">
        <f>"63992024042310343871454"</f>
        <v>63992024042310343871454</v>
      </c>
      <c r="G398" s="9" t="str">
        <f t="shared" si="57"/>
        <v>0203</v>
      </c>
      <c r="H398" s="9" t="s">
        <v>12</v>
      </c>
      <c r="I398" s="8"/>
    </row>
    <row r="399" spans="1:9" s="2" customFormat="1" ht="30" customHeight="1">
      <c r="A399" s="8">
        <v>397</v>
      </c>
      <c r="B399" s="9" t="s">
        <v>24</v>
      </c>
      <c r="C399" s="9" t="s">
        <v>14</v>
      </c>
      <c r="D399" s="9" t="str">
        <f>"符有彩"</f>
        <v>符有彩</v>
      </c>
      <c r="E399" s="9" t="str">
        <f t="shared" si="56"/>
        <v>女</v>
      </c>
      <c r="F399" s="9" t="str">
        <f>"63992024042316425275871"</f>
        <v>63992024042316425275871</v>
      </c>
      <c r="G399" s="9" t="str">
        <f t="shared" si="57"/>
        <v>0203</v>
      </c>
      <c r="H399" s="9" t="s">
        <v>12</v>
      </c>
      <c r="I399" s="8"/>
    </row>
    <row r="400" spans="1:9" s="2" customFormat="1" ht="30" customHeight="1">
      <c r="A400" s="8">
        <v>398</v>
      </c>
      <c r="B400" s="9" t="s">
        <v>24</v>
      </c>
      <c r="C400" s="9" t="s">
        <v>14</v>
      </c>
      <c r="D400" s="9" t="str">
        <f>"符娟蝶"</f>
        <v>符娟蝶</v>
      </c>
      <c r="E400" s="9" t="str">
        <f t="shared" si="56"/>
        <v>女</v>
      </c>
      <c r="F400" s="9" t="str">
        <f>"63992024042218564767092"</f>
        <v>63992024042218564767092</v>
      </c>
      <c r="G400" s="9" t="str">
        <f t="shared" si="57"/>
        <v>0203</v>
      </c>
      <c r="H400" s="9" t="s">
        <v>12</v>
      </c>
      <c r="I400" s="8"/>
    </row>
    <row r="401" spans="1:9" s="2" customFormat="1" ht="30" customHeight="1">
      <c r="A401" s="8">
        <v>399</v>
      </c>
      <c r="B401" s="9" t="s">
        <v>24</v>
      </c>
      <c r="C401" s="9" t="s">
        <v>14</v>
      </c>
      <c r="D401" s="9" t="str">
        <f>"杨弋艺"</f>
        <v>杨弋艺</v>
      </c>
      <c r="E401" s="9" t="str">
        <f t="shared" si="56"/>
        <v>女</v>
      </c>
      <c r="F401" s="9" t="str">
        <f>"63992024042516030496941"</f>
        <v>63992024042516030496941</v>
      </c>
      <c r="G401" s="9" t="str">
        <f t="shared" si="57"/>
        <v>0203</v>
      </c>
      <c r="H401" s="9" t="s">
        <v>12</v>
      </c>
      <c r="I401" s="8"/>
    </row>
    <row r="402" spans="1:9" s="2" customFormat="1" ht="30" customHeight="1">
      <c r="A402" s="8">
        <v>400</v>
      </c>
      <c r="B402" s="9" t="s">
        <v>24</v>
      </c>
      <c r="C402" s="9" t="s">
        <v>14</v>
      </c>
      <c r="D402" s="9" t="str">
        <f>"唐华蓉"</f>
        <v>唐华蓉</v>
      </c>
      <c r="E402" s="9" t="str">
        <f t="shared" si="56"/>
        <v>女</v>
      </c>
      <c r="F402" s="9" t="str">
        <f>"63992024042523352498270"</f>
        <v>63992024042523352498270</v>
      </c>
      <c r="G402" s="9" t="str">
        <f t="shared" si="57"/>
        <v>0203</v>
      </c>
      <c r="H402" s="9" t="s">
        <v>12</v>
      </c>
      <c r="I402" s="8"/>
    </row>
    <row r="403" spans="1:9" s="2" customFormat="1" ht="30" customHeight="1">
      <c r="A403" s="8">
        <v>401</v>
      </c>
      <c r="B403" s="9" t="s">
        <v>24</v>
      </c>
      <c r="C403" s="9" t="s">
        <v>14</v>
      </c>
      <c r="D403" s="9" t="str">
        <f>"邓庆玲"</f>
        <v>邓庆玲</v>
      </c>
      <c r="E403" s="9" t="str">
        <f t="shared" si="56"/>
        <v>女</v>
      </c>
      <c r="F403" s="9" t="str">
        <f>"63992024042600182298308"</f>
        <v>63992024042600182298308</v>
      </c>
      <c r="G403" s="9" t="str">
        <f t="shared" si="57"/>
        <v>0203</v>
      </c>
      <c r="H403" s="9" t="s">
        <v>12</v>
      </c>
      <c r="I403" s="8"/>
    </row>
    <row r="404" spans="1:9" s="2" customFormat="1" ht="30" customHeight="1">
      <c r="A404" s="8">
        <v>402</v>
      </c>
      <c r="B404" s="9" t="s">
        <v>24</v>
      </c>
      <c r="C404" s="9" t="s">
        <v>14</v>
      </c>
      <c r="D404" s="9" t="str">
        <f>"林师"</f>
        <v>林师</v>
      </c>
      <c r="E404" s="9" t="str">
        <f t="shared" si="56"/>
        <v>女</v>
      </c>
      <c r="F404" s="9" t="str">
        <f>"63992024042600523398337"</f>
        <v>63992024042600523398337</v>
      </c>
      <c r="G404" s="9" t="str">
        <f t="shared" si="57"/>
        <v>0203</v>
      </c>
      <c r="H404" s="9" t="s">
        <v>12</v>
      </c>
      <c r="I404" s="8"/>
    </row>
    <row r="405" spans="1:9" ht="30" customHeight="1">
      <c r="A405" s="8">
        <v>403</v>
      </c>
      <c r="B405" s="9" t="s">
        <v>24</v>
      </c>
      <c r="C405" s="9" t="s">
        <v>14</v>
      </c>
      <c r="D405" s="9" t="str">
        <f>"熊秋红"</f>
        <v>熊秋红</v>
      </c>
      <c r="E405" s="9" t="str">
        <f t="shared" si="56"/>
        <v>女</v>
      </c>
      <c r="F405" s="9" t="str">
        <f>"639920240426121039110047"</f>
        <v>639920240426121039110047</v>
      </c>
      <c r="G405" s="9" t="str">
        <f t="shared" si="57"/>
        <v>0203</v>
      </c>
      <c r="H405" s="9" t="s">
        <v>12</v>
      </c>
      <c r="I405" s="8"/>
    </row>
    <row r="406" spans="1:9" ht="30" customHeight="1">
      <c r="A406" s="8">
        <v>404</v>
      </c>
      <c r="B406" s="9" t="s">
        <v>24</v>
      </c>
      <c r="C406" s="9" t="s">
        <v>14</v>
      </c>
      <c r="D406" s="9" t="str">
        <f>"赵绵峰"</f>
        <v>赵绵峰</v>
      </c>
      <c r="E406" s="9" t="str">
        <f>"男"</f>
        <v>男</v>
      </c>
      <c r="F406" s="9" t="str">
        <f>"639920240428095310114683"</f>
        <v>639920240428095310114683</v>
      </c>
      <c r="G406" s="9" t="str">
        <f t="shared" si="57"/>
        <v>0203</v>
      </c>
      <c r="H406" s="9" t="s">
        <v>12</v>
      </c>
      <c r="I406" s="8"/>
    </row>
    <row r="407" spans="1:9" ht="30" customHeight="1">
      <c r="A407" s="8">
        <v>405</v>
      </c>
      <c r="B407" s="9" t="s">
        <v>24</v>
      </c>
      <c r="C407" s="9" t="s">
        <v>14</v>
      </c>
      <c r="D407" s="9" t="str">
        <f>"方佳怡"</f>
        <v>方佳怡</v>
      </c>
      <c r="E407" s="9" t="str">
        <f aca="true" t="shared" si="58" ref="E407:E416">"女"</f>
        <v>女</v>
      </c>
      <c r="F407" s="9" t="str">
        <f>"63992024042523293798263"</f>
        <v>63992024042523293798263</v>
      </c>
      <c r="G407" s="9" t="str">
        <f t="shared" si="57"/>
        <v>0203</v>
      </c>
      <c r="H407" s="9" t="s">
        <v>12</v>
      </c>
      <c r="I407" s="12"/>
    </row>
    <row r="408" spans="1:9" ht="30" customHeight="1">
      <c r="A408" s="8">
        <v>406</v>
      </c>
      <c r="B408" s="9" t="s">
        <v>24</v>
      </c>
      <c r="C408" s="9" t="s">
        <v>14</v>
      </c>
      <c r="D408" s="9" t="str">
        <f>"林静"</f>
        <v>林静</v>
      </c>
      <c r="E408" s="9" t="str">
        <f t="shared" si="58"/>
        <v>女</v>
      </c>
      <c r="F408" s="9" t="str">
        <f>"639920240428215059117133"</f>
        <v>639920240428215059117133</v>
      </c>
      <c r="G408" s="9" t="str">
        <f t="shared" si="57"/>
        <v>0203</v>
      </c>
      <c r="H408" s="9" t="s">
        <v>12</v>
      </c>
      <c r="I408" s="12"/>
    </row>
    <row r="409" spans="1:9" ht="30" customHeight="1">
      <c r="A409" s="8">
        <v>407</v>
      </c>
      <c r="B409" s="9" t="s">
        <v>24</v>
      </c>
      <c r="C409" s="9" t="s">
        <v>14</v>
      </c>
      <c r="D409" s="9" t="str">
        <f>"李洪丽"</f>
        <v>李洪丽</v>
      </c>
      <c r="E409" s="9" t="str">
        <f t="shared" si="58"/>
        <v>女</v>
      </c>
      <c r="F409" s="9" t="str">
        <f>"639920240428225151117259"</f>
        <v>639920240428225151117259</v>
      </c>
      <c r="G409" s="9" t="str">
        <f t="shared" si="57"/>
        <v>0203</v>
      </c>
      <c r="H409" s="9" t="s">
        <v>12</v>
      </c>
      <c r="I409" s="12"/>
    </row>
    <row r="410" spans="1:9" ht="30" customHeight="1">
      <c r="A410" s="8">
        <v>408</v>
      </c>
      <c r="B410" s="9" t="s">
        <v>24</v>
      </c>
      <c r="C410" s="9" t="s">
        <v>14</v>
      </c>
      <c r="D410" s="9" t="str">
        <f>"林艳"</f>
        <v>林艳</v>
      </c>
      <c r="E410" s="9" t="str">
        <f t="shared" si="58"/>
        <v>女</v>
      </c>
      <c r="F410" s="9" t="str">
        <f>"639920240428233617117313"</f>
        <v>639920240428233617117313</v>
      </c>
      <c r="G410" s="9" t="str">
        <f t="shared" si="57"/>
        <v>0203</v>
      </c>
      <c r="H410" s="9" t="s">
        <v>12</v>
      </c>
      <c r="I410" s="12"/>
    </row>
    <row r="411" spans="1:9" ht="30" customHeight="1">
      <c r="A411" s="8">
        <v>409</v>
      </c>
      <c r="B411" s="9" t="s">
        <v>24</v>
      </c>
      <c r="C411" s="9" t="s">
        <v>14</v>
      </c>
      <c r="D411" s="9" t="str">
        <f>"李雨娜"</f>
        <v>李雨娜</v>
      </c>
      <c r="E411" s="9" t="str">
        <f t="shared" si="58"/>
        <v>女</v>
      </c>
      <c r="F411" s="9" t="str">
        <f>"639920240428100539114777"</f>
        <v>639920240428100539114777</v>
      </c>
      <c r="G411" s="9" t="str">
        <f t="shared" si="57"/>
        <v>0203</v>
      </c>
      <c r="H411" s="9" t="s">
        <v>12</v>
      </c>
      <c r="I411" s="12"/>
    </row>
    <row r="412" spans="1:9" ht="30" customHeight="1">
      <c r="A412" s="8">
        <v>410</v>
      </c>
      <c r="B412" s="9" t="s">
        <v>24</v>
      </c>
      <c r="C412" s="9" t="s">
        <v>14</v>
      </c>
      <c r="D412" s="9" t="str">
        <f>"邱金秀"</f>
        <v>邱金秀</v>
      </c>
      <c r="E412" s="9" t="str">
        <f t="shared" si="58"/>
        <v>女</v>
      </c>
      <c r="F412" s="9" t="str">
        <f>"639920240429103407118123"</f>
        <v>639920240429103407118123</v>
      </c>
      <c r="G412" s="9" t="str">
        <f t="shared" si="57"/>
        <v>0203</v>
      </c>
      <c r="H412" s="9" t="s">
        <v>12</v>
      </c>
      <c r="I412" s="12"/>
    </row>
    <row r="413" spans="1:9" ht="30" customHeight="1">
      <c r="A413" s="8">
        <v>411</v>
      </c>
      <c r="B413" s="9" t="s">
        <v>24</v>
      </c>
      <c r="C413" s="9" t="s">
        <v>14</v>
      </c>
      <c r="D413" s="9" t="str">
        <f>"石欢"</f>
        <v>石欢</v>
      </c>
      <c r="E413" s="9" t="str">
        <f t="shared" si="58"/>
        <v>女</v>
      </c>
      <c r="F413" s="9" t="str">
        <f>"639920240429153207119387"</f>
        <v>639920240429153207119387</v>
      </c>
      <c r="G413" s="9" t="str">
        <f t="shared" si="57"/>
        <v>0203</v>
      </c>
      <c r="H413" s="9" t="s">
        <v>12</v>
      </c>
      <c r="I413" s="12"/>
    </row>
    <row r="414" spans="1:9" ht="30" customHeight="1">
      <c r="A414" s="8">
        <v>412</v>
      </c>
      <c r="B414" s="9" t="s">
        <v>24</v>
      </c>
      <c r="C414" s="9" t="s">
        <v>14</v>
      </c>
      <c r="D414" s="9" t="str">
        <f>"林欣"</f>
        <v>林欣</v>
      </c>
      <c r="E414" s="9" t="str">
        <f t="shared" si="58"/>
        <v>女</v>
      </c>
      <c r="F414" s="9" t="str">
        <f>"63992024042321584779399"</f>
        <v>63992024042321584779399</v>
      </c>
      <c r="G414" s="9" t="str">
        <f t="shared" si="57"/>
        <v>0203</v>
      </c>
      <c r="H414" s="9" t="s">
        <v>12</v>
      </c>
      <c r="I414" s="12"/>
    </row>
    <row r="415" spans="1:9" ht="30" customHeight="1">
      <c r="A415" s="8">
        <v>413</v>
      </c>
      <c r="B415" s="9" t="s">
        <v>24</v>
      </c>
      <c r="C415" s="9" t="s">
        <v>16</v>
      </c>
      <c r="D415" s="9" t="str">
        <f>"黄夏梦"</f>
        <v>黄夏梦</v>
      </c>
      <c r="E415" s="9" t="str">
        <f t="shared" si="58"/>
        <v>女</v>
      </c>
      <c r="F415" s="9" t="str">
        <f>"63992024041918064551630"</f>
        <v>63992024041918064551630</v>
      </c>
      <c r="G415" s="9" t="str">
        <f aca="true" t="shared" si="59" ref="G415:G439">"0204"</f>
        <v>0204</v>
      </c>
      <c r="H415" s="9" t="s">
        <v>12</v>
      </c>
      <c r="I415" s="12"/>
    </row>
    <row r="416" spans="1:9" ht="30" customHeight="1">
      <c r="A416" s="8">
        <v>414</v>
      </c>
      <c r="B416" s="9" t="s">
        <v>24</v>
      </c>
      <c r="C416" s="9" t="s">
        <v>16</v>
      </c>
      <c r="D416" s="9" t="str">
        <f>"谭慧艳"</f>
        <v>谭慧艳</v>
      </c>
      <c r="E416" s="9" t="str">
        <f t="shared" si="58"/>
        <v>女</v>
      </c>
      <c r="F416" s="9" t="str">
        <f>"63992024041920564851955"</f>
        <v>63992024041920564851955</v>
      </c>
      <c r="G416" s="9" t="str">
        <f t="shared" si="59"/>
        <v>0204</v>
      </c>
      <c r="H416" s="9" t="s">
        <v>12</v>
      </c>
      <c r="I416" s="12"/>
    </row>
    <row r="417" spans="1:9" ht="30" customHeight="1">
      <c r="A417" s="8">
        <v>415</v>
      </c>
      <c r="B417" s="9" t="s">
        <v>24</v>
      </c>
      <c r="C417" s="9" t="s">
        <v>16</v>
      </c>
      <c r="D417" s="9" t="str">
        <f>"和文杰"</f>
        <v>和文杰</v>
      </c>
      <c r="E417" s="9" t="str">
        <f aca="true" t="shared" si="60" ref="E417:E422">"男"</f>
        <v>男</v>
      </c>
      <c r="F417" s="9" t="str">
        <f>"63992024042010301052471"</f>
        <v>63992024042010301052471</v>
      </c>
      <c r="G417" s="9" t="str">
        <f t="shared" si="59"/>
        <v>0204</v>
      </c>
      <c r="H417" s="9" t="s">
        <v>12</v>
      </c>
      <c r="I417" s="12"/>
    </row>
    <row r="418" spans="1:9" ht="30" customHeight="1">
      <c r="A418" s="8">
        <v>416</v>
      </c>
      <c r="B418" s="9" t="s">
        <v>24</v>
      </c>
      <c r="C418" s="9" t="s">
        <v>16</v>
      </c>
      <c r="D418" s="9" t="str">
        <f>"罗丹"</f>
        <v>罗丹</v>
      </c>
      <c r="E418" s="9" t="str">
        <f aca="true" t="shared" si="61" ref="E418:E431">"女"</f>
        <v>女</v>
      </c>
      <c r="F418" s="9" t="str">
        <f>"63992024042120193857834"</f>
        <v>63992024042120193857834</v>
      </c>
      <c r="G418" s="9" t="str">
        <f t="shared" si="59"/>
        <v>0204</v>
      </c>
      <c r="H418" s="9" t="s">
        <v>12</v>
      </c>
      <c r="I418" s="12"/>
    </row>
    <row r="419" spans="1:9" ht="30" customHeight="1">
      <c r="A419" s="8">
        <v>417</v>
      </c>
      <c r="B419" s="9" t="s">
        <v>24</v>
      </c>
      <c r="C419" s="9" t="s">
        <v>16</v>
      </c>
      <c r="D419" s="9" t="str">
        <f>"钱俏君"</f>
        <v>钱俏君</v>
      </c>
      <c r="E419" s="9" t="str">
        <f t="shared" si="61"/>
        <v>女</v>
      </c>
      <c r="F419" s="9" t="str">
        <f>"63992024042122545158045"</f>
        <v>63992024042122545158045</v>
      </c>
      <c r="G419" s="9" t="str">
        <f t="shared" si="59"/>
        <v>0204</v>
      </c>
      <c r="H419" s="9" t="s">
        <v>12</v>
      </c>
      <c r="I419" s="12"/>
    </row>
    <row r="420" spans="1:9" ht="30" customHeight="1">
      <c r="A420" s="8">
        <v>418</v>
      </c>
      <c r="B420" s="9" t="s">
        <v>24</v>
      </c>
      <c r="C420" s="9" t="s">
        <v>16</v>
      </c>
      <c r="D420" s="9" t="str">
        <f>"王祺定"</f>
        <v>王祺定</v>
      </c>
      <c r="E420" s="9" t="str">
        <f t="shared" si="60"/>
        <v>男</v>
      </c>
      <c r="F420" s="9" t="str">
        <f>"63992024042209342459338"</f>
        <v>63992024042209342459338</v>
      </c>
      <c r="G420" s="9" t="str">
        <f t="shared" si="59"/>
        <v>0204</v>
      </c>
      <c r="H420" s="9" t="s">
        <v>12</v>
      </c>
      <c r="I420" s="12"/>
    </row>
    <row r="421" spans="1:9" ht="30" customHeight="1">
      <c r="A421" s="8">
        <v>419</v>
      </c>
      <c r="B421" s="9" t="s">
        <v>24</v>
      </c>
      <c r="C421" s="9" t="s">
        <v>16</v>
      </c>
      <c r="D421" s="9" t="str">
        <f>"陈贻霖"</f>
        <v>陈贻霖</v>
      </c>
      <c r="E421" s="9" t="str">
        <f t="shared" si="60"/>
        <v>男</v>
      </c>
      <c r="F421" s="9" t="str">
        <f>"63992024041920133551874"</f>
        <v>63992024041920133551874</v>
      </c>
      <c r="G421" s="9" t="str">
        <f t="shared" si="59"/>
        <v>0204</v>
      </c>
      <c r="H421" s="9" t="s">
        <v>12</v>
      </c>
      <c r="I421" s="12"/>
    </row>
    <row r="422" spans="1:9" ht="30" customHeight="1">
      <c r="A422" s="8">
        <v>420</v>
      </c>
      <c r="B422" s="9" t="s">
        <v>24</v>
      </c>
      <c r="C422" s="9" t="s">
        <v>16</v>
      </c>
      <c r="D422" s="9" t="str">
        <f>"李泽章"</f>
        <v>李泽章</v>
      </c>
      <c r="E422" s="9" t="str">
        <f t="shared" si="60"/>
        <v>男</v>
      </c>
      <c r="F422" s="9" t="str">
        <f>"63992024041917291451550"</f>
        <v>63992024041917291451550</v>
      </c>
      <c r="G422" s="9" t="str">
        <f t="shared" si="59"/>
        <v>0204</v>
      </c>
      <c r="H422" s="9" t="s">
        <v>12</v>
      </c>
      <c r="I422" s="12"/>
    </row>
    <row r="423" spans="1:9" ht="30" customHeight="1">
      <c r="A423" s="8">
        <v>421</v>
      </c>
      <c r="B423" s="9" t="s">
        <v>24</v>
      </c>
      <c r="C423" s="9" t="s">
        <v>16</v>
      </c>
      <c r="D423" s="9" t="str">
        <f>"符妍彩"</f>
        <v>符妍彩</v>
      </c>
      <c r="E423" s="9" t="str">
        <f t="shared" si="61"/>
        <v>女</v>
      </c>
      <c r="F423" s="9" t="str">
        <f>"63992024042221105567865"</f>
        <v>63992024042221105567865</v>
      </c>
      <c r="G423" s="9" t="str">
        <f t="shared" si="59"/>
        <v>0204</v>
      </c>
      <c r="H423" s="9" t="s">
        <v>12</v>
      </c>
      <c r="I423" s="12"/>
    </row>
    <row r="424" spans="1:9" ht="30" customHeight="1">
      <c r="A424" s="8">
        <v>422</v>
      </c>
      <c r="B424" s="9" t="s">
        <v>24</v>
      </c>
      <c r="C424" s="9" t="s">
        <v>16</v>
      </c>
      <c r="D424" s="9" t="str">
        <f>"余碧卉"</f>
        <v>余碧卉</v>
      </c>
      <c r="E424" s="9" t="str">
        <f t="shared" si="61"/>
        <v>女</v>
      </c>
      <c r="F424" s="9" t="str">
        <f>"63992024042222514568408"</f>
        <v>63992024042222514568408</v>
      </c>
      <c r="G424" s="9" t="str">
        <f t="shared" si="59"/>
        <v>0204</v>
      </c>
      <c r="H424" s="9" t="s">
        <v>12</v>
      </c>
      <c r="I424" s="12"/>
    </row>
    <row r="425" spans="1:9" ht="30" customHeight="1">
      <c r="A425" s="8">
        <v>423</v>
      </c>
      <c r="B425" s="9" t="s">
        <v>24</v>
      </c>
      <c r="C425" s="9" t="s">
        <v>16</v>
      </c>
      <c r="D425" s="9" t="str">
        <f>"叶心意"</f>
        <v>叶心意</v>
      </c>
      <c r="E425" s="9" t="str">
        <f t="shared" si="61"/>
        <v>女</v>
      </c>
      <c r="F425" s="9" t="str">
        <f>"63992024042219344367291"</f>
        <v>63992024042219344367291</v>
      </c>
      <c r="G425" s="9" t="str">
        <f t="shared" si="59"/>
        <v>0204</v>
      </c>
      <c r="H425" s="9" t="s">
        <v>12</v>
      </c>
      <c r="I425" s="12"/>
    </row>
    <row r="426" spans="1:9" ht="30" customHeight="1">
      <c r="A426" s="8">
        <v>424</v>
      </c>
      <c r="B426" s="9" t="s">
        <v>24</v>
      </c>
      <c r="C426" s="9" t="s">
        <v>16</v>
      </c>
      <c r="D426" s="9" t="str">
        <f>"杨瑜"</f>
        <v>杨瑜</v>
      </c>
      <c r="E426" s="9" t="str">
        <f t="shared" si="61"/>
        <v>女</v>
      </c>
      <c r="F426" s="9" t="str">
        <f>"63992024042309004669158"</f>
        <v>63992024042309004669158</v>
      </c>
      <c r="G426" s="9" t="str">
        <f t="shared" si="59"/>
        <v>0204</v>
      </c>
      <c r="H426" s="9" t="s">
        <v>12</v>
      </c>
      <c r="I426" s="12"/>
    </row>
    <row r="427" spans="1:9" ht="30" customHeight="1">
      <c r="A427" s="8">
        <v>425</v>
      </c>
      <c r="B427" s="9" t="s">
        <v>24</v>
      </c>
      <c r="C427" s="9" t="s">
        <v>16</v>
      </c>
      <c r="D427" s="9" t="str">
        <f>"薛伟积"</f>
        <v>薛伟积</v>
      </c>
      <c r="E427" s="9" t="str">
        <f t="shared" si="61"/>
        <v>女</v>
      </c>
      <c r="F427" s="9" t="str">
        <f>"63992024042315171774877"</f>
        <v>63992024042315171774877</v>
      </c>
      <c r="G427" s="9" t="str">
        <f t="shared" si="59"/>
        <v>0204</v>
      </c>
      <c r="H427" s="9" t="s">
        <v>12</v>
      </c>
      <c r="I427" s="12"/>
    </row>
    <row r="428" spans="1:9" ht="30" customHeight="1">
      <c r="A428" s="8">
        <v>426</v>
      </c>
      <c r="B428" s="9" t="s">
        <v>24</v>
      </c>
      <c r="C428" s="9" t="s">
        <v>16</v>
      </c>
      <c r="D428" s="9" t="str">
        <f>"林明媚"</f>
        <v>林明媚</v>
      </c>
      <c r="E428" s="9" t="str">
        <f t="shared" si="61"/>
        <v>女</v>
      </c>
      <c r="F428" s="9" t="str">
        <f>"63992024042320375178681"</f>
        <v>63992024042320375178681</v>
      </c>
      <c r="G428" s="9" t="str">
        <f t="shared" si="59"/>
        <v>0204</v>
      </c>
      <c r="H428" s="9" t="s">
        <v>12</v>
      </c>
      <c r="I428" s="12"/>
    </row>
    <row r="429" spans="1:9" ht="30" customHeight="1">
      <c r="A429" s="8">
        <v>427</v>
      </c>
      <c r="B429" s="9" t="s">
        <v>24</v>
      </c>
      <c r="C429" s="9" t="s">
        <v>16</v>
      </c>
      <c r="D429" s="9" t="str">
        <f>"王卫玲"</f>
        <v>王卫玲</v>
      </c>
      <c r="E429" s="9" t="str">
        <f t="shared" si="61"/>
        <v>女</v>
      </c>
      <c r="F429" s="9" t="str">
        <f>"63992024042409365483524"</f>
        <v>63992024042409365483524</v>
      </c>
      <c r="G429" s="9" t="str">
        <f t="shared" si="59"/>
        <v>0204</v>
      </c>
      <c r="H429" s="9" t="s">
        <v>12</v>
      </c>
      <c r="I429" s="12"/>
    </row>
    <row r="430" spans="1:9" ht="30" customHeight="1">
      <c r="A430" s="8">
        <v>428</v>
      </c>
      <c r="B430" s="9" t="s">
        <v>24</v>
      </c>
      <c r="C430" s="9" t="s">
        <v>16</v>
      </c>
      <c r="D430" s="9" t="str">
        <f>"颜森莹"</f>
        <v>颜森莹</v>
      </c>
      <c r="E430" s="9" t="str">
        <f t="shared" si="61"/>
        <v>女</v>
      </c>
      <c r="F430" s="9" t="str">
        <f>"63992024042416413190898"</f>
        <v>63992024042416413190898</v>
      </c>
      <c r="G430" s="9" t="str">
        <f t="shared" si="59"/>
        <v>0204</v>
      </c>
      <c r="H430" s="9" t="s">
        <v>12</v>
      </c>
      <c r="I430" s="12"/>
    </row>
    <row r="431" spans="1:9" ht="30" customHeight="1">
      <c r="A431" s="8">
        <v>429</v>
      </c>
      <c r="B431" s="9" t="s">
        <v>24</v>
      </c>
      <c r="C431" s="9" t="s">
        <v>16</v>
      </c>
      <c r="D431" s="9" t="str">
        <f>"罗蓓 "</f>
        <v>罗蓓 </v>
      </c>
      <c r="E431" s="9" t="str">
        <f t="shared" si="61"/>
        <v>女</v>
      </c>
      <c r="F431" s="9" t="str">
        <f>"63992024042417264291666"</f>
        <v>63992024042417264291666</v>
      </c>
      <c r="G431" s="9" t="str">
        <f t="shared" si="59"/>
        <v>0204</v>
      </c>
      <c r="H431" s="9" t="s">
        <v>12</v>
      </c>
      <c r="I431" s="12"/>
    </row>
    <row r="432" spans="1:9" ht="30" customHeight="1">
      <c r="A432" s="8">
        <v>430</v>
      </c>
      <c r="B432" s="9" t="s">
        <v>24</v>
      </c>
      <c r="C432" s="9" t="s">
        <v>16</v>
      </c>
      <c r="D432" s="9" t="str">
        <f>"王旭东"</f>
        <v>王旭东</v>
      </c>
      <c r="E432" s="9" t="str">
        <f>"男"</f>
        <v>男</v>
      </c>
      <c r="F432" s="9" t="str">
        <f>"63992024042520083097729"</f>
        <v>63992024042520083097729</v>
      </c>
      <c r="G432" s="9" t="str">
        <f t="shared" si="59"/>
        <v>0204</v>
      </c>
      <c r="H432" s="9" t="s">
        <v>12</v>
      </c>
      <c r="I432" s="12"/>
    </row>
    <row r="433" spans="1:9" ht="30" customHeight="1">
      <c r="A433" s="8">
        <v>431</v>
      </c>
      <c r="B433" s="9" t="s">
        <v>24</v>
      </c>
      <c r="C433" s="9" t="s">
        <v>16</v>
      </c>
      <c r="D433" s="9" t="str">
        <f>"韦妮"</f>
        <v>韦妮</v>
      </c>
      <c r="E433" s="9" t="str">
        <f aca="true" t="shared" si="62" ref="E433:E442">"女"</f>
        <v>女</v>
      </c>
      <c r="F433" s="9" t="str">
        <f>"639920240426223052111636"</f>
        <v>639920240426223052111636</v>
      </c>
      <c r="G433" s="9" t="str">
        <f t="shared" si="59"/>
        <v>0204</v>
      </c>
      <c r="H433" s="9" t="s">
        <v>12</v>
      </c>
      <c r="I433" s="12"/>
    </row>
    <row r="434" spans="1:9" ht="30" customHeight="1">
      <c r="A434" s="8">
        <v>432</v>
      </c>
      <c r="B434" s="9" t="s">
        <v>24</v>
      </c>
      <c r="C434" s="9" t="s">
        <v>16</v>
      </c>
      <c r="D434" s="9" t="str">
        <f>"郭学海"</f>
        <v>郭学海</v>
      </c>
      <c r="E434" s="9" t="str">
        <f>"男"</f>
        <v>男</v>
      </c>
      <c r="F434" s="9" t="str">
        <f>"639920240428124225115514"</f>
        <v>639920240428124225115514</v>
      </c>
      <c r="G434" s="9" t="str">
        <f t="shared" si="59"/>
        <v>0204</v>
      </c>
      <c r="H434" s="9" t="s">
        <v>12</v>
      </c>
      <c r="I434" s="12"/>
    </row>
    <row r="435" spans="1:9" ht="30" customHeight="1">
      <c r="A435" s="8">
        <v>433</v>
      </c>
      <c r="B435" s="9" t="s">
        <v>24</v>
      </c>
      <c r="C435" s="9" t="s">
        <v>16</v>
      </c>
      <c r="D435" s="9" t="str">
        <f>"黎楚怡"</f>
        <v>黎楚怡</v>
      </c>
      <c r="E435" s="9" t="str">
        <f t="shared" si="62"/>
        <v>女</v>
      </c>
      <c r="F435" s="9" t="str">
        <f>"639920240428160911116222"</f>
        <v>639920240428160911116222</v>
      </c>
      <c r="G435" s="9" t="str">
        <f t="shared" si="59"/>
        <v>0204</v>
      </c>
      <c r="H435" s="9" t="s">
        <v>12</v>
      </c>
      <c r="I435" s="12"/>
    </row>
    <row r="436" spans="1:9" ht="30" customHeight="1">
      <c r="A436" s="8">
        <v>434</v>
      </c>
      <c r="B436" s="9" t="s">
        <v>24</v>
      </c>
      <c r="C436" s="9" t="s">
        <v>16</v>
      </c>
      <c r="D436" s="9" t="str">
        <f>"李雅恋"</f>
        <v>李雅恋</v>
      </c>
      <c r="E436" s="9" t="str">
        <f t="shared" si="62"/>
        <v>女</v>
      </c>
      <c r="F436" s="9" t="str">
        <f>"639920240428223230117228"</f>
        <v>639920240428223230117228</v>
      </c>
      <c r="G436" s="9" t="str">
        <f t="shared" si="59"/>
        <v>0204</v>
      </c>
      <c r="H436" s="9" t="s">
        <v>12</v>
      </c>
      <c r="I436" s="12"/>
    </row>
    <row r="437" spans="1:9" ht="30" customHeight="1">
      <c r="A437" s="8">
        <v>435</v>
      </c>
      <c r="B437" s="9" t="s">
        <v>24</v>
      </c>
      <c r="C437" s="9" t="s">
        <v>16</v>
      </c>
      <c r="D437" s="9" t="str">
        <f>"叶小玉"</f>
        <v>叶小玉</v>
      </c>
      <c r="E437" s="9" t="str">
        <f t="shared" si="62"/>
        <v>女</v>
      </c>
      <c r="F437" s="9" t="str">
        <f>"639920240428120545115412"</f>
        <v>639920240428120545115412</v>
      </c>
      <c r="G437" s="9" t="str">
        <f t="shared" si="59"/>
        <v>0204</v>
      </c>
      <c r="H437" s="9" t="s">
        <v>12</v>
      </c>
      <c r="I437" s="12"/>
    </row>
    <row r="438" spans="1:9" ht="30" customHeight="1">
      <c r="A438" s="8">
        <v>436</v>
      </c>
      <c r="B438" s="9" t="s">
        <v>24</v>
      </c>
      <c r="C438" s="9" t="s">
        <v>16</v>
      </c>
      <c r="D438" s="9" t="str">
        <f>"吴小英"</f>
        <v>吴小英</v>
      </c>
      <c r="E438" s="9" t="str">
        <f t="shared" si="62"/>
        <v>女</v>
      </c>
      <c r="F438" s="9" t="str">
        <f>"639920240426091154109185"</f>
        <v>639920240426091154109185</v>
      </c>
      <c r="G438" s="9" t="str">
        <f t="shared" si="59"/>
        <v>0204</v>
      </c>
      <c r="H438" s="9" t="s">
        <v>12</v>
      </c>
      <c r="I438" s="12"/>
    </row>
    <row r="439" spans="1:9" ht="30" customHeight="1">
      <c r="A439" s="8">
        <v>437</v>
      </c>
      <c r="B439" s="9" t="s">
        <v>24</v>
      </c>
      <c r="C439" s="9" t="s">
        <v>16</v>
      </c>
      <c r="D439" s="9" t="str">
        <f>"陈春金"</f>
        <v>陈春金</v>
      </c>
      <c r="E439" s="9" t="str">
        <f t="shared" si="62"/>
        <v>女</v>
      </c>
      <c r="F439" s="9" t="str">
        <f>"639920240429155701119517"</f>
        <v>639920240429155701119517</v>
      </c>
      <c r="G439" s="9" t="str">
        <f t="shared" si="59"/>
        <v>0204</v>
      </c>
      <c r="H439" s="9" t="s">
        <v>12</v>
      </c>
      <c r="I439" s="12"/>
    </row>
    <row r="440" spans="1:9" ht="30" customHeight="1">
      <c r="A440" s="8">
        <v>438</v>
      </c>
      <c r="B440" s="9" t="s">
        <v>24</v>
      </c>
      <c r="C440" s="9" t="s">
        <v>25</v>
      </c>
      <c r="D440" s="9" t="str">
        <f>"许露好"</f>
        <v>许露好</v>
      </c>
      <c r="E440" s="9" t="str">
        <f t="shared" si="62"/>
        <v>女</v>
      </c>
      <c r="F440" s="9" t="str">
        <f>"63992024041917035651482"</f>
        <v>63992024041917035651482</v>
      </c>
      <c r="G440" s="9" t="str">
        <f aca="true" t="shared" si="63" ref="G440:G503">"0205"</f>
        <v>0205</v>
      </c>
      <c r="H440" s="9" t="s">
        <v>12</v>
      </c>
      <c r="I440" s="12"/>
    </row>
    <row r="441" spans="1:9" ht="30" customHeight="1">
      <c r="A441" s="8">
        <v>439</v>
      </c>
      <c r="B441" s="9" t="s">
        <v>24</v>
      </c>
      <c r="C441" s="9" t="s">
        <v>25</v>
      </c>
      <c r="D441" s="9" t="str">
        <f>"张英杏"</f>
        <v>张英杏</v>
      </c>
      <c r="E441" s="9" t="str">
        <f t="shared" si="62"/>
        <v>女</v>
      </c>
      <c r="F441" s="9" t="str">
        <f>"63992024041917234951535"</f>
        <v>63992024041917234951535</v>
      </c>
      <c r="G441" s="9" t="str">
        <f t="shared" si="63"/>
        <v>0205</v>
      </c>
      <c r="H441" s="9" t="s">
        <v>12</v>
      </c>
      <c r="I441" s="12"/>
    </row>
    <row r="442" spans="1:9" ht="30" customHeight="1">
      <c r="A442" s="8">
        <v>440</v>
      </c>
      <c r="B442" s="9" t="s">
        <v>24</v>
      </c>
      <c r="C442" s="9" t="s">
        <v>25</v>
      </c>
      <c r="D442" s="9" t="str">
        <f>"林鑫"</f>
        <v>林鑫</v>
      </c>
      <c r="E442" s="9" t="str">
        <f t="shared" si="62"/>
        <v>女</v>
      </c>
      <c r="F442" s="9" t="str">
        <f>"63992024041921204952013"</f>
        <v>63992024041921204952013</v>
      </c>
      <c r="G442" s="9" t="str">
        <f t="shared" si="63"/>
        <v>0205</v>
      </c>
      <c r="H442" s="9" t="s">
        <v>12</v>
      </c>
      <c r="I442" s="12"/>
    </row>
    <row r="443" spans="1:9" ht="30" customHeight="1">
      <c r="A443" s="8">
        <v>441</v>
      </c>
      <c r="B443" s="9" t="s">
        <v>24</v>
      </c>
      <c r="C443" s="9" t="s">
        <v>25</v>
      </c>
      <c r="D443" s="9" t="str">
        <f>"王家宇"</f>
        <v>王家宇</v>
      </c>
      <c r="E443" s="9" t="str">
        <f aca="true" t="shared" si="64" ref="E443:E447">"男"</f>
        <v>男</v>
      </c>
      <c r="F443" s="9" t="str">
        <f>"63992024041923553252200"</f>
        <v>63992024041923553252200</v>
      </c>
      <c r="G443" s="9" t="str">
        <f t="shared" si="63"/>
        <v>0205</v>
      </c>
      <c r="H443" s="9" t="s">
        <v>12</v>
      </c>
      <c r="I443" s="12"/>
    </row>
    <row r="444" spans="1:9" ht="30" customHeight="1">
      <c r="A444" s="8">
        <v>442</v>
      </c>
      <c r="B444" s="9" t="s">
        <v>24</v>
      </c>
      <c r="C444" s="9" t="s">
        <v>25</v>
      </c>
      <c r="D444" s="9" t="str">
        <f>"李丽南"</f>
        <v>李丽南</v>
      </c>
      <c r="E444" s="9" t="str">
        <f aca="true" t="shared" si="65" ref="E444:E450">"女"</f>
        <v>女</v>
      </c>
      <c r="F444" s="9" t="str">
        <f>"63992024042014404752808"</f>
        <v>63992024042014404752808</v>
      </c>
      <c r="G444" s="9" t="str">
        <f t="shared" si="63"/>
        <v>0205</v>
      </c>
      <c r="H444" s="9" t="s">
        <v>12</v>
      </c>
      <c r="I444" s="12"/>
    </row>
    <row r="445" spans="1:9" ht="30" customHeight="1">
      <c r="A445" s="8">
        <v>443</v>
      </c>
      <c r="B445" s="9" t="s">
        <v>24</v>
      </c>
      <c r="C445" s="9" t="s">
        <v>25</v>
      </c>
      <c r="D445" s="9" t="str">
        <f>"符卿达"</f>
        <v>符卿达</v>
      </c>
      <c r="E445" s="9" t="str">
        <f t="shared" si="64"/>
        <v>男</v>
      </c>
      <c r="F445" s="9" t="str">
        <f>"63992024042021101256561"</f>
        <v>63992024042021101256561</v>
      </c>
      <c r="G445" s="9" t="str">
        <f t="shared" si="63"/>
        <v>0205</v>
      </c>
      <c r="H445" s="9" t="s">
        <v>12</v>
      </c>
      <c r="I445" s="12"/>
    </row>
    <row r="446" spans="1:9" ht="30" customHeight="1">
      <c r="A446" s="8">
        <v>444</v>
      </c>
      <c r="B446" s="9" t="s">
        <v>24</v>
      </c>
      <c r="C446" s="9" t="s">
        <v>25</v>
      </c>
      <c r="D446" s="9" t="str">
        <f>"陈婷"</f>
        <v>陈婷</v>
      </c>
      <c r="E446" s="9" t="str">
        <f t="shared" si="65"/>
        <v>女</v>
      </c>
      <c r="F446" s="9" t="str">
        <f>"63992024042021584256633"</f>
        <v>63992024042021584256633</v>
      </c>
      <c r="G446" s="9" t="str">
        <f t="shared" si="63"/>
        <v>0205</v>
      </c>
      <c r="H446" s="9" t="s">
        <v>12</v>
      </c>
      <c r="I446" s="12"/>
    </row>
    <row r="447" spans="1:9" ht="30" customHeight="1">
      <c r="A447" s="8">
        <v>445</v>
      </c>
      <c r="B447" s="9" t="s">
        <v>24</v>
      </c>
      <c r="C447" s="9" t="s">
        <v>25</v>
      </c>
      <c r="D447" s="9" t="str">
        <f>"吴正昊"</f>
        <v>吴正昊</v>
      </c>
      <c r="E447" s="9" t="str">
        <f t="shared" si="64"/>
        <v>男</v>
      </c>
      <c r="F447" s="9" t="str">
        <f>"63992024042021542756626"</f>
        <v>63992024042021542756626</v>
      </c>
      <c r="G447" s="9" t="str">
        <f t="shared" si="63"/>
        <v>0205</v>
      </c>
      <c r="H447" s="9" t="s">
        <v>12</v>
      </c>
      <c r="I447" s="12"/>
    </row>
    <row r="448" spans="1:9" ht="30" customHeight="1">
      <c r="A448" s="8">
        <v>446</v>
      </c>
      <c r="B448" s="9" t="s">
        <v>24</v>
      </c>
      <c r="C448" s="9" t="s">
        <v>25</v>
      </c>
      <c r="D448" s="9" t="str">
        <f>"吴桂香"</f>
        <v>吴桂香</v>
      </c>
      <c r="E448" s="9" t="str">
        <f t="shared" si="65"/>
        <v>女</v>
      </c>
      <c r="F448" s="9" t="str">
        <f>"63992024042023123456718"</f>
        <v>63992024042023123456718</v>
      </c>
      <c r="G448" s="9" t="str">
        <f t="shared" si="63"/>
        <v>0205</v>
      </c>
      <c r="H448" s="9" t="s">
        <v>12</v>
      </c>
      <c r="I448" s="12"/>
    </row>
    <row r="449" spans="1:9" ht="30" customHeight="1">
      <c r="A449" s="8">
        <v>447</v>
      </c>
      <c r="B449" s="9" t="s">
        <v>24</v>
      </c>
      <c r="C449" s="9" t="s">
        <v>25</v>
      </c>
      <c r="D449" s="9" t="str">
        <f>"林丽婷"</f>
        <v>林丽婷</v>
      </c>
      <c r="E449" s="9" t="str">
        <f t="shared" si="65"/>
        <v>女</v>
      </c>
      <c r="F449" s="9" t="str">
        <f>"63992024042018030553105"</f>
        <v>63992024042018030553105</v>
      </c>
      <c r="G449" s="9" t="str">
        <f t="shared" si="63"/>
        <v>0205</v>
      </c>
      <c r="H449" s="9" t="s">
        <v>12</v>
      </c>
      <c r="I449" s="12"/>
    </row>
    <row r="450" spans="1:9" ht="30" customHeight="1">
      <c r="A450" s="8">
        <v>448</v>
      </c>
      <c r="B450" s="9" t="s">
        <v>24</v>
      </c>
      <c r="C450" s="9" t="s">
        <v>25</v>
      </c>
      <c r="D450" s="9" t="str">
        <f>"郭金萍"</f>
        <v>郭金萍</v>
      </c>
      <c r="E450" s="9" t="str">
        <f t="shared" si="65"/>
        <v>女</v>
      </c>
      <c r="F450" s="9" t="str">
        <f>"63992024042117382557654"</f>
        <v>63992024042117382557654</v>
      </c>
      <c r="G450" s="9" t="str">
        <f t="shared" si="63"/>
        <v>0205</v>
      </c>
      <c r="H450" s="9" t="s">
        <v>12</v>
      </c>
      <c r="I450" s="12"/>
    </row>
    <row r="451" spans="1:9" ht="30" customHeight="1">
      <c r="A451" s="8">
        <v>449</v>
      </c>
      <c r="B451" s="9" t="s">
        <v>24</v>
      </c>
      <c r="C451" s="9" t="s">
        <v>25</v>
      </c>
      <c r="D451" s="9" t="str">
        <f>"梁安泽"</f>
        <v>梁安泽</v>
      </c>
      <c r="E451" s="9" t="str">
        <f aca="true" t="shared" si="66" ref="E451:E456">"男"</f>
        <v>男</v>
      </c>
      <c r="F451" s="9" t="str">
        <f>"63992024041922470652143"</f>
        <v>63992024041922470652143</v>
      </c>
      <c r="G451" s="9" t="str">
        <f t="shared" si="63"/>
        <v>0205</v>
      </c>
      <c r="H451" s="9" t="s">
        <v>12</v>
      </c>
      <c r="I451" s="12"/>
    </row>
    <row r="452" spans="1:9" ht="30" customHeight="1">
      <c r="A452" s="8">
        <v>450</v>
      </c>
      <c r="B452" s="9" t="s">
        <v>24</v>
      </c>
      <c r="C452" s="9" t="s">
        <v>25</v>
      </c>
      <c r="D452" s="9" t="str">
        <f>"陈良秋"</f>
        <v>陈良秋</v>
      </c>
      <c r="E452" s="9" t="str">
        <f aca="true" t="shared" si="67" ref="E452:E454">"女"</f>
        <v>女</v>
      </c>
      <c r="F452" s="9" t="str">
        <f>"63992024042119042257754"</f>
        <v>63992024042119042257754</v>
      </c>
      <c r="G452" s="9" t="str">
        <f t="shared" si="63"/>
        <v>0205</v>
      </c>
      <c r="H452" s="9" t="s">
        <v>12</v>
      </c>
      <c r="I452" s="12"/>
    </row>
    <row r="453" spans="1:9" ht="30" customHeight="1">
      <c r="A453" s="8">
        <v>451</v>
      </c>
      <c r="B453" s="9" t="s">
        <v>24</v>
      </c>
      <c r="C453" s="9" t="s">
        <v>25</v>
      </c>
      <c r="D453" s="9" t="str">
        <f>"刘心如"</f>
        <v>刘心如</v>
      </c>
      <c r="E453" s="9" t="str">
        <f t="shared" si="67"/>
        <v>女</v>
      </c>
      <c r="F453" s="9" t="str">
        <f>"63992024042121132857904"</f>
        <v>63992024042121132857904</v>
      </c>
      <c r="G453" s="9" t="str">
        <f t="shared" si="63"/>
        <v>0205</v>
      </c>
      <c r="H453" s="9" t="s">
        <v>12</v>
      </c>
      <c r="I453" s="12"/>
    </row>
    <row r="454" spans="1:9" ht="30" customHeight="1">
      <c r="A454" s="8">
        <v>452</v>
      </c>
      <c r="B454" s="9" t="s">
        <v>24</v>
      </c>
      <c r="C454" s="9" t="s">
        <v>25</v>
      </c>
      <c r="D454" s="9" t="str">
        <f>"李顺美"</f>
        <v>李顺美</v>
      </c>
      <c r="E454" s="9" t="str">
        <f t="shared" si="67"/>
        <v>女</v>
      </c>
      <c r="F454" s="9" t="str">
        <f>"63992024042123290358071"</f>
        <v>63992024042123290358071</v>
      </c>
      <c r="G454" s="9" t="str">
        <f t="shared" si="63"/>
        <v>0205</v>
      </c>
      <c r="H454" s="9" t="s">
        <v>12</v>
      </c>
      <c r="I454" s="12"/>
    </row>
    <row r="455" spans="1:9" ht="30" customHeight="1">
      <c r="A455" s="8">
        <v>453</v>
      </c>
      <c r="B455" s="9" t="s">
        <v>24</v>
      </c>
      <c r="C455" s="9" t="s">
        <v>25</v>
      </c>
      <c r="D455" s="9" t="str">
        <f>"林发敏"</f>
        <v>林发敏</v>
      </c>
      <c r="E455" s="9" t="str">
        <f t="shared" si="66"/>
        <v>男</v>
      </c>
      <c r="F455" s="9" t="str">
        <f>"63992024042208492458597"</f>
        <v>63992024042208492458597</v>
      </c>
      <c r="G455" s="9" t="str">
        <f t="shared" si="63"/>
        <v>0205</v>
      </c>
      <c r="H455" s="9" t="s">
        <v>12</v>
      </c>
      <c r="I455" s="12"/>
    </row>
    <row r="456" spans="1:9" ht="30" customHeight="1">
      <c r="A456" s="8">
        <v>454</v>
      </c>
      <c r="B456" s="9" t="s">
        <v>24</v>
      </c>
      <c r="C456" s="9" t="s">
        <v>25</v>
      </c>
      <c r="D456" s="9" t="str">
        <f>"何永建"</f>
        <v>何永建</v>
      </c>
      <c r="E456" s="9" t="str">
        <f t="shared" si="66"/>
        <v>男</v>
      </c>
      <c r="F456" s="9" t="str">
        <f>"63992024042208402158513"</f>
        <v>63992024042208402158513</v>
      </c>
      <c r="G456" s="9" t="str">
        <f t="shared" si="63"/>
        <v>0205</v>
      </c>
      <c r="H456" s="9" t="s">
        <v>12</v>
      </c>
      <c r="I456" s="12"/>
    </row>
    <row r="457" spans="1:9" ht="30" customHeight="1">
      <c r="A457" s="8">
        <v>455</v>
      </c>
      <c r="B457" s="9" t="s">
        <v>24</v>
      </c>
      <c r="C457" s="9" t="s">
        <v>25</v>
      </c>
      <c r="D457" s="9" t="str">
        <f>"吴旻芳"</f>
        <v>吴旻芳</v>
      </c>
      <c r="E457" s="9" t="str">
        <f aca="true" t="shared" si="68" ref="E457:E459">"女"</f>
        <v>女</v>
      </c>
      <c r="F457" s="9" t="str">
        <f>"63992024042209285659249"</f>
        <v>63992024042209285659249</v>
      </c>
      <c r="G457" s="9" t="str">
        <f t="shared" si="63"/>
        <v>0205</v>
      </c>
      <c r="H457" s="9" t="s">
        <v>12</v>
      </c>
      <c r="I457" s="12"/>
    </row>
    <row r="458" spans="1:9" ht="30" customHeight="1">
      <c r="A458" s="8">
        <v>456</v>
      </c>
      <c r="B458" s="9" t="s">
        <v>24</v>
      </c>
      <c r="C458" s="9" t="s">
        <v>25</v>
      </c>
      <c r="D458" s="9" t="str">
        <f>"陈影"</f>
        <v>陈影</v>
      </c>
      <c r="E458" s="9" t="str">
        <f t="shared" si="68"/>
        <v>女</v>
      </c>
      <c r="F458" s="9" t="str">
        <f>"63992024042210314760105"</f>
        <v>63992024042210314760105</v>
      </c>
      <c r="G458" s="9" t="str">
        <f t="shared" si="63"/>
        <v>0205</v>
      </c>
      <c r="H458" s="9" t="s">
        <v>12</v>
      </c>
      <c r="I458" s="12"/>
    </row>
    <row r="459" spans="1:9" ht="30" customHeight="1">
      <c r="A459" s="8">
        <v>457</v>
      </c>
      <c r="B459" s="9" t="s">
        <v>24</v>
      </c>
      <c r="C459" s="9" t="s">
        <v>25</v>
      </c>
      <c r="D459" s="9" t="str">
        <f>"黄甜"</f>
        <v>黄甜</v>
      </c>
      <c r="E459" s="9" t="str">
        <f t="shared" si="68"/>
        <v>女</v>
      </c>
      <c r="F459" s="9" t="str">
        <f>"63992024042210534260382"</f>
        <v>63992024042210534260382</v>
      </c>
      <c r="G459" s="9" t="str">
        <f t="shared" si="63"/>
        <v>0205</v>
      </c>
      <c r="H459" s="9" t="s">
        <v>12</v>
      </c>
      <c r="I459" s="12"/>
    </row>
    <row r="460" spans="1:9" ht="39.75" customHeight="1">
      <c r="A460" s="8">
        <v>458</v>
      </c>
      <c r="B460" s="9" t="s">
        <v>24</v>
      </c>
      <c r="C460" s="9" t="s">
        <v>25</v>
      </c>
      <c r="D460" s="9" t="str">
        <f>"王运"</f>
        <v>王运</v>
      </c>
      <c r="E460" s="9" t="str">
        <f>"男"</f>
        <v>男</v>
      </c>
      <c r="F460" s="9" t="str">
        <f>"63992024041917354651567"</f>
        <v>63992024041917354651567</v>
      </c>
      <c r="G460" s="9" t="str">
        <f t="shared" si="63"/>
        <v>0205</v>
      </c>
      <c r="H460" s="10" t="s">
        <v>15</v>
      </c>
      <c r="I460" s="12"/>
    </row>
    <row r="461" spans="1:9" ht="30" customHeight="1">
      <c r="A461" s="8">
        <v>459</v>
      </c>
      <c r="B461" s="9" t="s">
        <v>24</v>
      </c>
      <c r="C461" s="9" t="s">
        <v>25</v>
      </c>
      <c r="D461" s="9" t="str">
        <f>"李静姣"</f>
        <v>李静姣</v>
      </c>
      <c r="E461" s="9" t="str">
        <f aca="true" t="shared" si="69" ref="E461:E464">"女"</f>
        <v>女</v>
      </c>
      <c r="F461" s="9" t="str">
        <f>"63992024042215120962259"</f>
        <v>63992024042215120962259</v>
      </c>
      <c r="G461" s="9" t="str">
        <f t="shared" si="63"/>
        <v>0205</v>
      </c>
      <c r="H461" s="9" t="s">
        <v>12</v>
      </c>
      <c r="I461" s="12"/>
    </row>
    <row r="462" spans="1:9" ht="30" customHeight="1">
      <c r="A462" s="8">
        <v>460</v>
      </c>
      <c r="B462" s="9" t="s">
        <v>24</v>
      </c>
      <c r="C462" s="9" t="s">
        <v>25</v>
      </c>
      <c r="D462" s="9" t="str">
        <f>"刘雯馨"</f>
        <v>刘雯馨</v>
      </c>
      <c r="E462" s="9" t="str">
        <f t="shared" si="69"/>
        <v>女</v>
      </c>
      <c r="F462" s="9" t="str">
        <f>"63992024042216542666277"</f>
        <v>63992024042216542666277</v>
      </c>
      <c r="G462" s="9" t="str">
        <f t="shared" si="63"/>
        <v>0205</v>
      </c>
      <c r="H462" s="9" t="s">
        <v>12</v>
      </c>
      <c r="I462" s="12"/>
    </row>
    <row r="463" spans="1:9" ht="30" customHeight="1">
      <c r="A463" s="8">
        <v>461</v>
      </c>
      <c r="B463" s="9" t="s">
        <v>24</v>
      </c>
      <c r="C463" s="9" t="s">
        <v>25</v>
      </c>
      <c r="D463" s="9" t="str">
        <f>"麦琪琪"</f>
        <v>麦琪琪</v>
      </c>
      <c r="E463" s="9" t="str">
        <f t="shared" si="69"/>
        <v>女</v>
      </c>
      <c r="F463" s="9" t="str">
        <f>"63992024042216390666172"</f>
        <v>63992024042216390666172</v>
      </c>
      <c r="G463" s="9" t="str">
        <f t="shared" si="63"/>
        <v>0205</v>
      </c>
      <c r="H463" s="9" t="s">
        <v>12</v>
      </c>
      <c r="I463" s="12"/>
    </row>
    <row r="464" spans="1:9" ht="30" customHeight="1">
      <c r="A464" s="8">
        <v>462</v>
      </c>
      <c r="B464" s="9" t="s">
        <v>24</v>
      </c>
      <c r="C464" s="9" t="s">
        <v>25</v>
      </c>
      <c r="D464" s="9" t="str">
        <f>"苏新"</f>
        <v>苏新</v>
      </c>
      <c r="E464" s="9" t="str">
        <f t="shared" si="69"/>
        <v>女</v>
      </c>
      <c r="F464" s="9" t="str">
        <f>"63992024042216585866312"</f>
        <v>63992024042216585866312</v>
      </c>
      <c r="G464" s="9" t="str">
        <f t="shared" si="63"/>
        <v>0205</v>
      </c>
      <c r="H464" s="9" t="s">
        <v>12</v>
      </c>
      <c r="I464" s="12"/>
    </row>
    <row r="465" spans="1:9" ht="30" customHeight="1">
      <c r="A465" s="8">
        <v>463</v>
      </c>
      <c r="B465" s="9" t="s">
        <v>24</v>
      </c>
      <c r="C465" s="9" t="s">
        <v>25</v>
      </c>
      <c r="D465" s="9" t="str">
        <f>"余学文"</f>
        <v>余学文</v>
      </c>
      <c r="E465" s="9" t="str">
        <f aca="true" t="shared" si="70" ref="E465:E468">"男"</f>
        <v>男</v>
      </c>
      <c r="F465" s="9" t="str">
        <f>"63992024042120355557856"</f>
        <v>63992024042120355557856</v>
      </c>
      <c r="G465" s="9" t="str">
        <f t="shared" si="63"/>
        <v>0205</v>
      </c>
      <c r="H465" s="9" t="s">
        <v>12</v>
      </c>
      <c r="I465" s="12"/>
    </row>
    <row r="466" spans="1:9" ht="30" customHeight="1">
      <c r="A466" s="8">
        <v>464</v>
      </c>
      <c r="B466" s="9" t="s">
        <v>24</v>
      </c>
      <c r="C466" s="9" t="s">
        <v>25</v>
      </c>
      <c r="D466" s="9" t="str">
        <f>"王紫娴"</f>
        <v>王紫娴</v>
      </c>
      <c r="E466" s="9" t="str">
        <f aca="true" t="shared" si="71" ref="E466:E474">"女"</f>
        <v>女</v>
      </c>
      <c r="F466" s="9" t="str">
        <f>"63992024042219110867168"</f>
        <v>63992024042219110867168</v>
      </c>
      <c r="G466" s="9" t="str">
        <f t="shared" si="63"/>
        <v>0205</v>
      </c>
      <c r="H466" s="9" t="s">
        <v>12</v>
      </c>
      <c r="I466" s="12"/>
    </row>
    <row r="467" spans="1:9" ht="30" customHeight="1">
      <c r="A467" s="8">
        <v>465</v>
      </c>
      <c r="B467" s="9" t="s">
        <v>24</v>
      </c>
      <c r="C467" s="9" t="s">
        <v>25</v>
      </c>
      <c r="D467" s="9" t="str">
        <f>"符传雄"</f>
        <v>符传雄</v>
      </c>
      <c r="E467" s="9" t="str">
        <f t="shared" si="70"/>
        <v>男</v>
      </c>
      <c r="F467" s="9" t="str">
        <f>"63992024042222515468409"</f>
        <v>63992024042222515468409</v>
      </c>
      <c r="G467" s="9" t="str">
        <f t="shared" si="63"/>
        <v>0205</v>
      </c>
      <c r="H467" s="9" t="s">
        <v>12</v>
      </c>
      <c r="I467" s="12"/>
    </row>
    <row r="468" spans="1:9" ht="30" customHeight="1">
      <c r="A468" s="8">
        <v>466</v>
      </c>
      <c r="B468" s="9" t="s">
        <v>24</v>
      </c>
      <c r="C468" s="9" t="s">
        <v>25</v>
      </c>
      <c r="D468" s="9" t="str">
        <f>"邱优"</f>
        <v>邱优</v>
      </c>
      <c r="E468" s="9" t="str">
        <f t="shared" si="70"/>
        <v>男</v>
      </c>
      <c r="F468" s="9" t="str">
        <f>"63992024042309385969946"</f>
        <v>63992024042309385969946</v>
      </c>
      <c r="G468" s="9" t="str">
        <f t="shared" si="63"/>
        <v>0205</v>
      </c>
      <c r="H468" s="9" t="s">
        <v>12</v>
      </c>
      <c r="I468" s="12"/>
    </row>
    <row r="469" spans="1:9" ht="30" customHeight="1">
      <c r="A469" s="8">
        <v>467</v>
      </c>
      <c r="B469" s="9" t="s">
        <v>24</v>
      </c>
      <c r="C469" s="9" t="s">
        <v>25</v>
      </c>
      <c r="D469" s="9" t="str">
        <f>"符英玲"</f>
        <v>符英玲</v>
      </c>
      <c r="E469" s="9" t="str">
        <f t="shared" si="71"/>
        <v>女</v>
      </c>
      <c r="F469" s="9" t="str">
        <f>"63992024042220201167566"</f>
        <v>63992024042220201167566</v>
      </c>
      <c r="G469" s="9" t="str">
        <f t="shared" si="63"/>
        <v>0205</v>
      </c>
      <c r="H469" s="9" t="s">
        <v>12</v>
      </c>
      <c r="I469" s="12"/>
    </row>
    <row r="470" spans="1:9" ht="30" customHeight="1">
      <c r="A470" s="8">
        <v>468</v>
      </c>
      <c r="B470" s="9" t="s">
        <v>24</v>
      </c>
      <c r="C470" s="9" t="s">
        <v>25</v>
      </c>
      <c r="D470" s="9" t="str">
        <f>"陈乐乐"</f>
        <v>陈乐乐</v>
      </c>
      <c r="E470" s="9" t="str">
        <f t="shared" si="71"/>
        <v>女</v>
      </c>
      <c r="F470" s="9" t="str">
        <f>"63992024042321094078958"</f>
        <v>63992024042321094078958</v>
      </c>
      <c r="G470" s="9" t="str">
        <f t="shared" si="63"/>
        <v>0205</v>
      </c>
      <c r="H470" s="9" t="s">
        <v>12</v>
      </c>
      <c r="I470" s="12"/>
    </row>
    <row r="471" spans="1:9" ht="30" customHeight="1">
      <c r="A471" s="8">
        <v>469</v>
      </c>
      <c r="B471" s="9" t="s">
        <v>24</v>
      </c>
      <c r="C471" s="9" t="s">
        <v>25</v>
      </c>
      <c r="D471" s="9" t="str">
        <f>"郑引凰"</f>
        <v>郑引凰</v>
      </c>
      <c r="E471" s="9" t="str">
        <f t="shared" si="71"/>
        <v>女</v>
      </c>
      <c r="F471" s="9" t="str">
        <f>"63992024042209204359107"</f>
        <v>63992024042209204359107</v>
      </c>
      <c r="G471" s="9" t="str">
        <f t="shared" si="63"/>
        <v>0205</v>
      </c>
      <c r="H471" s="9" t="s">
        <v>12</v>
      </c>
      <c r="I471" s="12"/>
    </row>
    <row r="472" spans="1:9" ht="30" customHeight="1">
      <c r="A472" s="8">
        <v>470</v>
      </c>
      <c r="B472" s="9" t="s">
        <v>24</v>
      </c>
      <c r="C472" s="9" t="s">
        <v>25</v>
      </c>
      <c r="D472" s="9" t="str">
        <f>"刘诗欣"</f>
        <v>刘诗欣</v>
      </c>
      <c r="E472" s="9" t="str">
        <f t="shared" si="71"/>
        <v>女</v>
      </c>
      <c r="F472" s="9" t="str">
        <f>"63992024042417153091567"</f>
        <v>63992024042417153091567</v>
      </c>
      <c r="G472" s="9" t="str">
        <f t="shared" si="63"/>
        <v>0205</v>
      </c>
      <c r="H472" s="9" t="s">
        <v>12</v>
      </c>
      <c r="I472" s="12"/>
    </row>
    <row r="473" spans="1:9" ht="30" customHeight="1">
      <c r="A473" s="8">
        <v>471</v>
      </c>
      <c r="B473" s="9" t="s">
        <v>24</v>
      </c>
      <c r="C473" s="9" t="s">
        <v>25</v>
      </c>
      <c r="D473" s="9" t="str">
        <f>"蒋海梅"</f>
        <v>蒋海梅</v>
      </c>
      <c r="E473" s="9" t="str">
        <f t="shared" si="71"/>
        <v>女</v>
      </c>
      <c r="F473" s="9" t="str">
        <f>"63992024042500182093410"</f>
        <v>63992024042500182093410</v>
      </c>
      <c r="G473" s="9" t="str">
        <f t="shared" si="63"/>
        <v>0205</v>
      </c>
      <c r="H473" s="9" t="s">
        <v>12</v>
      </c>
      <c r="I473" s="12"/>
    </row>
    <row r="474" spans="1:9" ht="30" customHeight="1">
      <c r="A474" s="8">
        <v>472</v>
      </c>
      <c r="B474" s="9" t="s">
        <v>24</v>
      </c>
      <c r="C474" s="9" t="s">
        <v>25</v>
      </c>
      <c r="D474" s="9" t="str">
        <f>"陈萍"</f>
        <v>陈萍</v>
      </c>
      <c r="E474" s="9" t="str">
        <f t="shared" si="71"/>
        <v>女</v>
      </c>
      <c r="F474" s="9" t="str">
        <f>"63992024042508522493809"</f>
        <v>63992024042508522493809</v>
      </c>
      <c r="G474" s="9" t="str">
        <f t="shared" si="63"/>
        <v>0205</v>
      </c>
      <c r="H474" s="9" t="s">
        <v>12</v>
      </c>
      <c r="I474" s="12"/>
    </row>
    <row r="475" spans="1:9" ht="30" customHeight="1">
      <c r="A475" s="8">
        <v>473</v>
      </c>
      <c r="B475" s="9" t="s">
        <v>24</v>
      </c>
      <c r="C475" s="9" t="s">
        <v>25</v>
      </c>
      <c r="D475" s="9" t="str">
        <f>"吴定泽"</f>
        <v>吴定泽</v>
      </c>
      <c r="E475" s="9" t="str">
        <f aca="true" t="shared" si="72" ref="E475:E480">"男"</f>
        <v>男</v>
      </c>
      <c r="F475" s="9" t="str">
        <f>"63992024042509590794252"</f>
        <v>63992024042509590794252</v>
      </c>
      <c r="G475" s="9" t="str">
        <f t="shared" si="63"/>
        <v>0205</v>
      </c>
      <c r="H475" s="9" t="s">
        <v>12</v>
      </c>
      <c r="I475" s="12"/>
    </row>
    <row r="476" spans="1:9" ht="30" customHeight="1">
      <c r="A476" s="8">
        <v>474</v>
      </c>
      <c r="B476" s="9" t="s">
        <v>24</v>
      </c>
      <c r="C476" s="9" t="s">
        <v>25</v>
      </c>
      <c r="D476" s="9" t="str">
        <f>"林万琼"</f>
        <v>林万琼</v>
      </c>
      <c r="E476" s="9" t="str">
        <f t="shared" si="72"/>
        <v>男</v>
      </c>
      <c r="F476" s="9" t="str">
        <f>"63992024042510105594351"</f>
        <v>63992024042510105594351</v>
      </c>
      <c r="G476" s="9" t="str">
        <f t="shared" si="63"/>
        <v>0205</v>
      </c>
      <c r="H476" s="9" t="s">
        <v>12</v>
      </c>
      <c r="I476" s="12"/>
    </row>
    <row r="477" spans="1:9" ht="30" customHeight="1">
      <c r="A477" s="8">
        <v>475</v>
      </c>
      <c r="B477" s="9" t="s">
        <v>24</v>
      </c>
      <c r="C477" s="9" t="s">
        <v>25</v>
      </c>
      <c r="D477" s="9" t="str">
        <f>"吴慧"</f>
        <v>吴慧</v>
      </c>
      <c r="E477" s="9" t="str">
        <f aca="true" t="shared" si="73" ref="E477:E479">"女"</f>
        <v>女</v>
      </c>
      <c r="F477" s="9" t="str">
        <f>"63992024042511065095042"</f>
        <v>63992024042511065095042</v>
      </c>
      <c r="G477" s="9" t="str">
        <f t="shared" si="63"/>
        <v>0205</v>
      </c>
      <c r="H477" s="9" t="s">
        <v>12</v>
      </c>
      <c r="I477" s="12"/>
    </row>
    <row r="478" spans="1:9" ht="30" customHeight="1">
      <c r="A478" s="8">
        <v>476</v>
      </c>
      <c r="B478" s="9" t="s">
        <v>24</v>
      </c>
      <c r="C478" s="9" t="s">
        <v>25</v>
      </c>
      <c r="D478" s="9" t="str">
        <f>"黎玉花"</f>
        <v>黎玉花</v>
      </c>
      <c r="E478" s="9" t="str">
        <f t="shared" si="73"/>
        <v>女</v>
      </c>
      <c r="F478" s="9" t="str">
        <f>"63992024042516201197033"</f>
        <v>63992024042516201197033</v>
      </c>
      <c r="G478" s="9" t="str">
        <f t="shared" si="63"/>
        <v>0205</v>
      </c>
      <c r="H478" s="9" t="s">
        <v>12</v>
      </c>
      <c r="I478" s="12"/>
    </row>
    <row r="479" spans="1:9" ht="30" customHeight="1">
      <c r="A479" s="8">
        <v>477</v>
      </c>
      <c r="B479" s="9" t="s">
        <v>24</v>
      </c>
      <c r="C479" s="9" t="s">
        <v>25</v>
      </c>
      <c r="D479" s="9" t="str">
        <f>"王莲芳"</f>
        <v>王莲芳</v>
      </c>
      <c r="E479" s="9" t="str">
        <f t="shared" si="73"/>
        <v>女</v>
      </c>
      <c r="F479" s="9" t="str">
        <f>"63992024042516565197230"</f>
        <v>63992024042516565197230</v>
      </c>
      <c r="G479" s="9" t="str">
        <f t="shared" si="63"/>
        <v>0205</v>
      </c>
      <c r="H479" s="9" t="s">
        <v>12</v>
      </c>
      <c r="I479" s="12"/>
    </row>
    <row r="480" spans="1:9" ht="30" customHeight="1">
      <c r="A480" s="8">
        <v>478</v>
      </c>
      <c r="B480" s="9" t="s">
        <v>24</v>
      </c>
      <c r="C480" s="9" t="s">
        <v>25</v>
      </c>
      <c r="D480" s="9" t="str">
        <f>"孙泰秋"</f>
        <v>孙泰秋</v>
      </c>
      <c r="E480" s="9" t="str">
        <f t="shared" si="72"/>
        <v>男</v>
      </c>
      <c r="F480" s="9" t="str">
        <f>"63992024042523183898249"</f>
        <v>63992024042523183898249</v>
      </c>
      <c r="G480" s="9" t="str">
        <f t="shared" si="63"/>
        <v>0205</v>
      </c>
      <c r="H480" s="9" t="s">
        <v>12</v>
      </c>
      <c r="I480" s="12"/>
    </row>
    <row r="481" spans="1:9" ht="30" customHeight="1">
      <c r="A481" s="8">
        <v>479</v>
      </c>
      <c r="B481" s="9" t="s">
        <v>24</v>
      </c>
      <c r="C481" s="9" t="s">
        <v>25</v>
      </c>
      <c r="D481" s="9" t="str">
        <f>"曾霞"</f>
        <v>曾霞</v>
      </c>
      <c r="E481" s="9" t="str">
        <f aca="true" t="shared" si="74" ref="E481:E488">"女"</f>
        <v>女</v>
      </c>
      <c r="F481" s="9" t="str">
        <f>"63992024042421592492924"</f>
        <v>63992024042421592492924</v>
      </c>
      <c r="G481" s="9" t="str">
        <f t="shared" si="63"/>
        <v>0205</v>
      </c>
      <c r="H481" s="9" t="s">
        <v>12</v>
      </c>
      <c r="I481" s="12"/>
    </row>
    <row r="482" spans="1:9" ht="30" customHeight="1">
      <c r="A482" s="8">
        <v>480</v>
      </c>
      <c r="B482" s="9" t="s">
        <v>24</v>
      </c>
      <c r="C482" s="9" t="s">
        <v>25</v>
      </c>
      <c r="D482" s="9" t="str">
        <f>"周琪滨"</f>
        <v>周琪滨</v>
      </c>
      <c r="E482" s="9" t="str">
        <f>"男"</f>
        <v>男</v>
      </c>
      <c r="F482" s="9" t="str">
        <f>"639920240426075307105632"</f>
        <v>639920240426075307105632</v>
      </c>
      <c r="G482" s="9" t="str">
        <f t="shared" si="63"/>
        <v>0205</v>
      </c>
      <c r="H482" s="9" t="s">
        <v>12</v>
      </c>
      <c r="I482" s="12"/>
    </row>
    <row r="483" spans="1:9" ht="30" customHeight="1">
      <c r="A483" s="8">
        <v>481</v>
      </c>
      <c r="B483" s="9" t="s">
        <v>24</v>
      </c>
      <c r="C483" s="9" t="s">
        <v>25</v>
      </c>
      <c r="D483" s="9" t="str">
        <f>"陈泽云"</f>
        <v>陈泽云</v>
      </c>
      <c r="E483" s="9" t="str">
        <f>"男"</f>
        <v>男</v>
      </c>
      <c r="F483" s="9" t="str">
        <f>"639920240427100624112133"</f>
        <v>639920240427100624112133</v>
      </c>
      <c r="G483" s="9" t="str">
        <f t="shared" si="63"/>
        <v>0205</v>
      </c>
      <c r="H483" s="9" t="s">
        <v>12</v>
      </c>
      <c r="I483" s="12"/>
    </row>
    <row r="484" spans="1:9" ht="30" customHeight="1">
      <c r="A484" s="8">
        <v>482</v>
      </c>
      <c r="B484" s="9" t="s">
        <v>24</v>
      </c>
      <c r="C484" s="9" t="s">
        <v>25</v>
      </c>
      <c r="D484" s="9" t="str">
        <f>"蔡丽君"</f>
        <v>蔡丽君</v>
      </c>
      <c r="E484" s="9" t="str">
        <f t="shared" si="74"/>
        <v>女</v>
      </c>
      <c r="F484" s="9" t="str">
        <f>"639920240427101008112155"</f>
        <v>639920240427101008112155</v>
      </c>
      <c r="G484" s="9" t="str">
        <f t="shared" si="63"/>
        <v>0205</v>
      </c>
      <c r="H484" s="9" t="s">
        <v>12</v>
      </c>
      <c r="I484" s="12"/>
    </row>
    <row r="485" spans="1:9" ht="30" customHeight="1">
      <c r="A485" s="8">
        <v>483</v>
      </c>
      <c r="B485" s="9" t="s">
        <v>24</v>
      </c>
      <c r="C485" s="9" t="s">
        <v>25</v>
      </c>
      <c r="D485" s="9" t="str">
        <f>"陈小艺"</f>
        <v>陈小艺</v>
      </c>
      <c r="E485" s="9" t="str">
        <f t="shared" si="74"/>
        <v>女</v>
      </c>
      <c r="F485" s="9" t="str">
        <f>"639920240427125100112610"</f>
        <v>639920240427125100112610</v>
      </c>
      <c r="G485" s="9" t="str">
        <f t="shared" si="63"/>
        <v>0205</v>
      </c>
      <c r="H485" s="9" t="s">
        <v>12</v>
      </c>
      <c r="I485" s="12"/>
    </row>
    <row r="486" spans="1:9" ht="30" customHeight="1">
      <c r="A486" s="8">
        <v>484</v>
      </c>
      <c r="B486" s="9" t="s">
        <v>24</v>
      </c>
      <c r="C486" s="9" t="s">
        <v>25</v>
      </c>
      <c r="D486" s="9" t="str">
        <f>"郭柳杏"</f>
        <v>郭柳杏</v>
      </c>
      <c r="E486" s="9" t="str">
        <f t="shared" si="74"/>
        <v>女</v>
      </c>
      <c r="F486" s="9" t="str">
        <f>"639920240427132548112691"</f>
        <v>639920240427132548112691</v>
      </c>
      <c r="G486" s="9" t="str">
        <f t="shared" si="63"/>
        <v>0205</v>
      </c>
      <c r="H486" s="9" t="s">
        <v>12</v>
      </c>
      <c r="I486" s="12"/>
    </row>
    <row r="487" spans="1:9" ht="30" customHeight="1">
      <c r="A487" s="8">
        <v>485</v>
      </c>
      <c r="B487" s="9" t="s">
        <v>24</v>
      </c>
      <c r="C487" s="9" t="s">
        <v>25</v>
      </c>
      <c r="D487" s="9" t="str">
        <f>"秦小洁"</f>
        <v>秦小洁</v>
      </c>
      <c r="E487" s="9" t="str">
        <f t="shared" si="74"/>
        <v>女</v>
      </c>
      <c r="F487" s="9" t="str">
        <f>"63992024042208222158341"</f>
        <v>63992024042208222158341</v>
      </c>
      <c r="G487" s="9" t="str">
        <f t="shared" si="63"/>
        <v>0205</v>
      </c>
      <c r="H487" s="9" t="s">
        <v>12</v>
      </c>
      <c r="I487" s="12"/>
    </row>
    <row r="488" spans="1:9" ht="30" customHeight="1">
      <c r="A488" s="8">
        <v>486</v>
      </c>
      <c r="B488" s="9" t="s">
        <v>24</v>
      </c>
      <c r="C488" s="9" t="s">
        <v>25</v>
      </c>
      <c r="D488" s="9" t="str">
        <f>"陈文娇"</f>
        <v>陈文娇</v>
      </c>
      <c r="E488" s="9" t="str">
        <f t="shared" si="74"/>
        <v>女</v>
      </c>
      <c r="F488" s="9" t="str">
        <f>"639920240427222254113903"</f>
        <v>639920240427222254113903</v>
      </c>
      <c r="G488" s="9" t="str">
        <f t="shared" si="63"/>
        <v>0205</v>
      </c>
      <c r="H488" s="9" t="s">
        <v>12</v>
      </c>
      <c r="I488" s="12"/>
    </row>
    <row r="489" spans="1:9" ht="30" customHeight="1">
      <c r="A489" s="8">
        <v>487</v>
      </c>
      <c r="B489" s="9" t="s">
        <v>24</v>
      </c>
      <c r="C489" s="9" t="s">
        <v>25</v>
      </c>
      <c r="D489" s="9" t="str">
        <f>"裴欢欢"</f>
        <v>裴欢欢</v>
      </c>
      <c r="E489" s="9" t="str">
        <f aca="true" t="shared" si="75" ref="E489:E491">"男"</f>
        <v>男</v>
      </c>
      <c r="F489" s="9" t="str">
        <f>"639920240427233020114011"</f>
        <v>639920240427233020114011</v>
      </c>
      <c r="G489" s="9" t="str">
        <f t="shared" si="63"/>
        <v>0205</v>
      </c>
      <c r="H489" s="9" t="s">
        <v>12</v>
      </c>
      <c r="I489" s="12"/>
    </row>
    <row r="490" spans="1:9" ht="30" customHeight="1">
      <c r="A490" s="8">
        <v>488</v>
      </c>
      <c r="B490" s="9" t="s">
        <v>24</v>
      </c>
      <c r="C490" s="9" t="s">
        <v>25</v>
      </c>
      <c r="D490" s="9" t="str">
        <f>"陈海斌"</f>
        <v>陈海斌</v>
      </c>
      <c r="E490" s="9" t="str">
        <f t="shared" si="75"/>
        <v>男</v>
      </c>
      <c r="F490" s="9" t="str">
        <f>"639920240428003737114056"</f>
        <v>639920240428003737114056</v>
      </c>
      <c r="G490" s="9" t="str">
        <f t="shared" si="63"/>
        <v>0205</v>
      </c>
      <c r="H490" s="9" t="s">
        <v>12</v>
      </c>
      <c r="I490" s="12"/>
    </row>
    <row r="491" spans="1:9" ht="30" customHeight="1">
      <c r="A491" s="8">
        <v>489</v>
      </c>
      <c r="B491" s="9" t="s">
        <v>24</v>
      </c>
      <c r="C491" s="9" t="s">
        <v>25</v>
      </c>
      <c r="D491" s="9" t="str">
        <f>"陈小鸿"</f>
        <v>陈小鸿</v>
      </c>
      <c r="E491" s="9" t="str">
        <f t="shared" si="75"/>
        <v>男</v>
      </c>
      <c r="F491" s="9" t="str">
        <f>"639920240428012823114071"</f>
        <v>639920240428012823114071</v>
      </c>
      <c r="G491" s="9" t="str">
        <f t="shared" si="63"/>
        <v>0205</v>
      </c>
      <c r="H491" s="9" t="s">
        <v>12</v>
      </c>
      <c r="I491" s="12"/>
    </row>
    <row r="492" spans="1:9" ht="30" customHeight="1">
      <c r="A492" s="8">
        <v>490</v>
      </c>
      <c r="B492" s="9" t="s">
        <v>24</v>
      </c>
      <c r="C492" s="9" t="s">
        <v>25</v>
      </c>
      <c r="D492" s="9" t="str">
        <f>"羊有菊"</f>
        <v>羊有菊</v>
      </c>
      <c r="E492" s="9" t="str">
        <f aca="true" t="shared" si="76" ref="E492:E525">"女"</f>
        <v>女</v>
      </c>
      <c r="F492" s="9" t="str">
        <f>"639920240428120203115402"</f>
        <v>639920240428120203115402</v>
      </c>
      <c r="G492" s="9" t="str">
        <f t="shared" si="63"/>
        <v>0205</v>
      </c>
      <c r="H492" s="9" t="s">
        <v>12</v>
      </c>
      <c r="I492" s="12"/>
    </row>
    <row r="493" spans="1:9" ht="30" customHeight="1">
      <c r="A493" s="8">
        <v>491</v>
      </c>
      <c r="B493" s="9" t="s">
        <v>24</v>
      </c>
      <c r="C493" s="9" t="s">
        <v>25</v>
      </c>
      <c r="D493" s="9" t="str">
        <f>"彭博伟"</f>
        <v>彭博伟</v>
      </c>
      <c r="E493" s="9" t="str">
        <f>"男"</f>
        <v>男</v>
      </c>
      <c r="F493" s="9" t="str">
        <f>"639920240428095917114722"</f>
        <v>639920240428095917114722</v>
      </c>
      <c r="G493" s="9" t="str">
        <f t="shared" si="63"/>
        <v>0205</v>
      </c>
      <c r="H493" s="9" t="s">
        <v>12</v>
      </c>
      <c r="I493" s="12"/>
    </row>
    <row r="494" spans="1:9" ht="30" customHeight="1">
      <c r="A494" s="8">
        <v>492</v>
      </c>
      <c r="B494" s="9" t="s">
        <v>24</v>
      </c>
      <c r="C494" s="9" t="s">
        <v>25</v>
      </c>
      <c r="D494" s="9" t="str">
        <f>"王灵巧"</f>
        <v>王灵巧</v>
      </c>
      <c r="E494" s="9" t="str">
        <f t="shared" si="76"/>
        <v>女</v>
      </c>
      <c r="F494" s="9" t="str">
        <f>"63992024042419102892081"</f>
        <v>63992024042419102892081</v>
      </c>
      <c r="G494" s="9" t="str">
        <f t="shared" si="63"/>
        <v>0205</v>
      </c>
      <c r="H494" s="9" t="s">
        <v>12</v>
      </c>
      <c r="I494" s="12"/>
    </row>
    <row r="495" spans="1:9" ht="30" customHeight="1">
      <c r="A495" s="8">
        <v>493</v>
      </c>
      <c r="B495" s="9" t="s">
        <v>24</v>
      </c>
      <c r="C495" s="9" t="s">
        <v>25</v>
      </c>
      <c r="D495" s="9" t="str">
        <f>"郑史冰"</f>
        <v>郑史冰</v>
      </c>
      <c r="E495" s="9" t="str">
        <f t="shared" si="76"/>
        <v>女</v>
      </c>
      <c r="F495" s="9" t="str">
        <f>"63992024042511262195161"</f>
        <v>63992024042511262195161</v>
      </c>
      <c r="G495" s="9" t="str">
        <f t="shared" si="63"/>
        <v>0205</v>
      </c>
      <c r="H495" s="9" t="s">
        <v>12</v>
      </c>
      <c r="I495" s="12"/>
    </row>
    <row r="496" spans="1:9" ht="30" customHeight="1">
      <c r="A496" s="8">
        <v>494</v>
      </c>
      <c r="B496" s="9" t="s">
        <v>24</v>
      </c>
      <c r="C496" s="9" t="s">
        <v>25</v>
      </c>
      <c r="D496" s="9" t="str">
        <f>"郑珍妮"</f>
        <v>郑珍妮</v>
      </c>
      <c r="E496" s="9" t="str">
        <f t="shared" si="76"/>
        <v>女</v>
      </c>
      <c r="F496" s="9" t="str">
        <f>"639920240429085505117544"</f>
        <v>639920240429085505117544</v>
      </c>
      <c r="G496" s="9" t="str">
        <f t="shared" si="63"/>
        <v>0205</v>
      </c>
      <c r="H496" s="9" t="s">
        <v>12</v>
      </c>
      <c r="I496" s="12"/>
    </row>
    <row r="497" spans="1:9" ht="30" customHeight="1">
      <c r="A497" s="8">
        <v>495</v>
      </c>
      <c r="B497" s="9" t="s">
        <v>24</v>
      </c>
      <c r="C497" s="9" t="s">
        <v>25</v>
      </c>
      <c r="D497" s="9" t="str">
        <f>"智欣宇"</f>
        <v>智欣宇</v>
      </c>
      <c r="E497" s="9" t="str">
        <f t="shared" si="76"/>
        <v>女</v>
      </c>
      <c r="F497" s="9" t="str">
        <f>"639920240429114821118532"</f>
        <v>639920240429114821118532</v>
      </c>
      <c r="G497" s="9" t="str">
        <f t="shared" si="63"/>
        <v>0205</v>
      </c>
      <c r="H497" s="9" t="s">
        <v>12</v>
      </c>
      <c r="I497" s="12"/>
    </row>
    <row r="498" spans="1:9" ht="30" customHeight="1">
      <c r="A498" s="8">
        <v>496</v>
      </c>
      <c r="B498" s="9" t="s">
        <v>24</v>
      </c>
      <c r="C498" s="9" t="s">
        <v>25</v>
      </c>
      <c r="D498" s="9" t="str">
        <f>"符晓寒"</f>
        <v>符晓寒</v>
      </c>
      <c r="E498" s="9" t="str">
        <f t="shared" si="76"/>
        <v>女</v>
      </c>
      <c r="F498" s="9" t="str">
        <f>"639920240429122315118649"</f>
        <v>639920240429122315118649</v>
      </c>
      <c r="G498" s="9" t="str">
        <f t="shared" si="63"/>
        <v>0205</v>
      </c>
      <c r="H498" s="9" t="s">
        <v>12</v>
      </c>
      <c r="I498" s="12"/>
    </row>
    <row r="499" spans="1:9" ht="30" customHeight="1">
      <c r="A499" s="8">
        <v>497</v>
      </c>
      <c r="B499" s="9" t="s">
        <v>24</v>
      </c>
      <c r="C499" s="9" t="s">
        <v>25</v>
      </c>
      <c r="D499" s="9" t="str">
        <f>"卓雨梦"</f>
        <v>卓雨梦</v>
      </c>
      <c r="E499" s="9" t="str">
        <f t="shared" si="76"/>
        <v>女</v>
      </c>
      <c r="F499" s="9" t="str">
        <f>"639920240429123515118700"</f>
        <v>639920240429123515118700</v>
      </c>
      <c r="G499" s="9" t="str">
        <f t="shared" si="63"/>
        <v>0205</v>
      </c>
      <c r="H499" s="9" t="s">
        <v>12</v>
      </c>
      <c r="I499" s="12"/>
    </row>
    <row r="500" spans="1:9" ht="30" customHeight="1">
      <c r="A500" s="8">
        <v>498</v>
      </c>
      <c r="B500" s="9" t="s">
        <v>24</v>
      </c>
      <c r="C500" s="9" t="s">
        <v>25</v>
      </c>
      <c r="D500" s="9" t="str">
        <f>"郭杜娟"</f>
        <v>郭杜娟</v>
      </c>
      <c r="E500" s="9" t="str">
        <f t="shared" si="76"/>
        <v>女</v>
      </c>
      <c r="F500" s="9" t="str">
        <f>"639920240429122450118655"</f>
        <v>639920240429122450118655</v>
      </c>
      <c r="G500" s="9" t="str">
        <f t="shared" si="63"/>
        <v>0205</v>
      </c>
      <c r="H500" s="9" t="s">
        <v>12</v>
      </c>
      <c r="I500" s="12"/>
    </row>
    <row r="501" spans="1:9" ht="30" customHeight="1">
      <c r="A501" s="8">
        <v>499</v>
      </c>
      <c r="B501" s="9" t="s">
        <v>24</v>
      </c>
      <c r="C501" s="9" t="s">
        <v>25</v>
      </c>
      <c r="D501" s="9" t="str">
        <f>"吉瑞晶"</f>
        <v>吉瑞晶</v>
      </c>
      <c r="E501" s="9" t="str">
        <f t="shared" si="76"/>
        <v>女</v>
      </c>
      <c r="F501" s="9" t="str">
        <f>"639920240429133652118893"</f>
        <v>639920240429133652118893</v>
      </c>
      <c r="G501" s="9" t="str">
        <f t="shared" si="63"/>
        <v>0205</v>
      </c>
      <c r="H501" s="9" t="s">
        <v>12</v>
      </c>
      <c r="I501" s="12"/>
    </row>
    <row r="502" spans="1:9" ht="30" customHeight="1">
      <c r="A502" s="8">
        <v>500</v>
      </c>
      <c r="B502" s="9" t="s">
        <v>24</v>
      </c>
      <c r="C502" s="9" t="s">
        <v>25</v>
      </c>
      <c r="D502" s="9" t="str">
        <f>"陈立淑"</f>
        <v>陈立淑</v>
      </c>
      <c r="E502" s="9" t="str">
        <f t="shared" si="76"/>
        <v>女</v>
      </c>
      <c r="F502" s="9" t="str">
        <f>"639920240429133516118888"</f>
        <v>639920240429133516118888</v>
      </c>
      <c r="G502" s="9" t="str">
        <f t="shared" si="63"/>
        <v>0205</v>
      </c>
      <c r="H502" s="9" t="s">
        <v>12</v>
      </c>
      <c r="I502" s="12"/>
    </row>
    <row r="503" spans="1:9" ht="30" customHeight="1">
      <c r="A503" s="8">
        <v>501</v>
      </c>
      <c r="B503" s="9" t="s">
        <v>24</v>
      </c>
      <c r="C503" s="9" t="s">
        <v>25</v>
      </c>
      <c r="D503" s="9" t="str">
        <f>"张雪莲"</f>
        <v>张雪莲</v>
      </c>
      <c r="E503" s="9" t="str">
        <f t="shared" si="76"/>
        <v>女</v>
      </c>
      <c r="F503" s="9" t="str">
        <f>"639920240429155357119499"</f>
        <v>639920240429155357119499</v>
      </c>
      <c r="G503" s="9" t="str">
        <f t="shared" si="63"/>
        <v>0205</v>
      </c>
      <c r="H503" s="9" t="s">
        <v>12</v>
      </c>
      <c r="I503" s="12"/>
    </row>
    <row r="504" spans="1:9" ht="39.75" customHeight="1">
      <c r="A504" s="8">
        <v>502</v>
      </c>
      <c r="B504" s="9" t="s">
        <v>24</v>
      </c>
      <c r="C504" s="9" t="s">
        <v>25</v>
      </c>
      <c r="D504" s="9" t="str">
        <f>"王亚菲"</f>
        <v>王亚菲</v>
      </c>
      <c r="E504" s="9" t="str">
        <f t="shared" si="76"/>
        <v>女</v>
      </c>
      <c r="F504" s="9" t="str">
        <f>"639920240429153614119405"</f>
        <v>639920240429153614119405</v>
      </c>
      <c r="G504" s="9" t="str">
        <f aca="true" t="shared" si="77" ref="G504:G506">"0205"</f>
        <v>0205</v>
      </c>
      <c r="H504" s="10" t="s">
        <v>15</v>
      </c>
      <c r="I504" s="12"/>
    </row>
    <row r="505" spans="1:9" ht="30" customHeight="1">
      <c r="A505" s="8">
        <v>503</v>
      </c>
      <c r="B505" s="9" t="s">
        <v>24</v>
      </c>
      <c r="C505" s="9" t="s">
        <v>25</v>
      </c>
      <c r="D505" s="9" t="str">
        <f>"谭美翠"</f>
        <v>谭美翠</v>
      </c>
      <c r="E505" s="9" t="str">
        <f t="shared" si="76"/>
        <v>女</v>
      </c>
      <c r="F505" s="9" t="str">
        <f>"639920240429083355117479"</f>
        <v>639920240429083355117479</v>
      </c>
      <c r="G505" s="9" t="str">
        <f t="shared" si="77"/>
        <v>0205</v>
      </c>
      <c r="H505" s="9" t="s">
        <v>12</v>
      </c>
      <c r="I505" s="12"/>
    </row>
    <row r="506" spans="1:9" ht="30" customHeight="1">
      <c r="A506" s="8">
        <v>504</v>
      </c>
      <c r="B506" s="9" t="s">
        <v>24</v>
      </c>
      <c r="C506" s="9" t="s">
        <v>25</v>
      </c>
      <c r="D506" s="9" t="str">
        <f>" 符灡潆"</f>
        <v> 符灡潆</v>
      </c>
      <c r="E506" s="9" t="str">
        <f t="shared" si="76"/>
        <v>女</v>
      </c>
      <c r="F506" s="9" t="str">
        <f>"639920240429145700119189"</f>
        <v>639920240429145700119189</v>
      </c>
      <c r="G506" s="9" t="str">
        <f t="shared" si="77"/>
        <v>0205</v>
      </c>
      <c r="H506" s="9" t="s">
        <v>12</v>
      </c>
      <c r="I506" s="12"/>
    </row>
    <row r="507" spans="1:9" ht="30" customHeight="1">
      <c r="A507" s="8">
        <v>505</v>
      </c>
      <c r="B507" s="9" t="s">
        <v>24</v>
      </c>
      <c r="C507" s="9" t="s">
        <v>17</v>
      </c>
      <c r="D507" s="9" t="str">
        <f>"王丹女"</f>
        <v>王丹女</v>
      </c>
      <c r="E507" s="9" t="str">
        <f t="shared" si="76"/>
        <v>女</v>
      </c>
      <c r="F507" s="9" t="str">
        <f>"63992024042008014452264"</f>
        <v>63992024042008014452264</v>
      </c>
      <c r="G507" s="9" t="str">
        <f aca="true" t="shared" si="78" ref="G507:G519">"0206"</f>
        <v>0206</v>
      </c>
      <c r="H507" s="9" t="s">
        <v>12</v>
      </c>
      <c r="I507" s="12"/>
    </row>
    <row r="508" spans="1:9" ht="30" customHeight="1">
      <c r="A508" s="8">
        <v>506</v>
      </c>
      <c r="B508" s="9" t="s">
        <v>24</v>
      </c>
      <c r="C508" s="9" t="s">
        <v>17</v>
      </c>
      <c r="D508" s="9" t="str">
        <f>"陈丽英"</f>
        <v>陈丽英</v>
      </c>
      <c r="E508" s="9" t="str">
        <f t="shared" si="76"/>
        <v>女</v>
      </c>
      <c r="F508" s="9" t="str">
        <f>"63992024042016145552962"</f>
        <v>63992024042016145552962</v>
      </c>
      <c r="G508" s="9" t="str">
        <f t="shared" si="78"/>
        <v>0206</v>
      </c>
      <c r="H508" s="9" t="s">
        <v>12</v>
      </c>
      <c r="I508" s="12"/>
    </row>
    <row r="509" spans="1:9" ht="30" customHeight="1">
      <c r="A509" s="8">
        <v>507</v>
      </c>
      <c r="B509" s="9" t="s">
        <v>24</v>
      </c>
      <c r="C509" s="9" t="s">
        <v>17</v>
      </c>
      <c r="D509" s="9" t="str">
        <f>"黎昌丽"</f>
        <v>黎昌丽</v>
      </c>
      <c r="E509" s="9" t="str">
        <f t="shared" si="76"/>
        <v>女</v>
      </c>
      <c r="F509" s="9" t="str">
        <f>"63992024042210524360371"</f>
        <v>63992024042210524360371</v>
      </c>
      <c r="G509" s="9" t="str">
        <f t="shared" si="78"/>
        <v>0206</v>
      </c>
      <c r="H509" s="9" t="s">
        <v>12</v>
      </c>
      <c r="I509" s="12"/>
    </row>
    <row r="510" spans="1:9" ht="30" customHeight="1">
      <c r="A510" s="8">
        <v>508</v>
      </c>
      <c r="B510" s="9" t="s">
        <v>24</v>
      </c>
      <c r="C510" s="9" t="s">
        <v>17</v>
      </c>
      <c r="D510" s="9" t="str">
        <f>"符金飞"</f>
        <v>符金飞</v>
      </c>
      <c r="E510" s="9" t="str">
        <f t="shared" si="76"/>
        <v>女</v>
      </c>
      <c r="F510" s="9" t="str">
        <f>"63992024042212570061458"</f>
        <v>63992024042212570061458</v>
      </c>
      <c r="G510" s="9" t="str">
        <f t="shared" si="78"/>
        <v>0206</v>
      </c>
      <c r="H510" s="9" t="s">
        <v>12</v>
      </c>
      <c r="I510" s="12"/>
    </row>
    <row r="511" spans="1:9" ht="30" customHeight="1">
      <c r="A511" s="8">
        <v>509</v>
      </c>
      <c r="B511" s="9" t="s">
        <v>24</v>
      </c>
      <c r="C511" s="9" t="s">
        <v>17</v>
      </c>
      <c r="D511" s="9" t="str">
        <f>"林娟"</f>
        <v>林娟</v>
      </c>
      <c r="E511" s="9" t="str">
        <f t="shared" si="76"/>
        <v>女</v>
      </c>
      <c r="F511" s="9" t="str">
        <f>"63992024042221415168048"</f>
        <v>63992024042221415168048</v>
      </c>
      <c r="G511" s="9" t="str">
        <f t="shared" si="78"/>
        <v>0206</v>
      </c>
      <c r="H511" s="9" t="s">
        <v>12</v>
      </c>
      <c r="I511" s="12"/>
    </row>
    <row r="512" spans="1:9" ht="30" customHeight="1">
      <c r="A512" s="8">
        <v>510</v>
      </c>
      <c r="B512" s="9" t="s">
        <v>24</v>
      </c>
      <c r="C512" s="9" t="s">
        <v>17</v>
      </c>
      <c r="D512" s="9" t="str">
        <f>"李远丽"</f>
        <v>李远丽</v>
      </c>
      <c r="E512" s="9" t="str">
        <f t="shared" si="76"/>
        <v>女</v>
      </c>
      <c r="F512" s="9" t="str">
        <f>"63992024042312054773014"</f>
        <v>63992024042312054773014</v>
      </c>
      <c r="G512" s="9" t="str">
        <f t="shared" si="78"/>
        <v>0206</v>
      </c>
      <c r="H512" s="9" t="s">
        <v>12</v>
      </c>
      <c r="I512" s="12"/>
    </row>
    <row r="513" spans="1:9" ht="30" customHeight="1">
      <c r="A513" s="8">
        <v>511</v>
      </c>
      <c r="B513" s="9" t="s">
        <v>24</v>
      </c>
      <c r="C513" s="9" t="s">
        <v>17</v>
      </c>
      <c r="D513" s="9" t="str">
        <f>"蔡亲贝"</f>
        <v>蔡亲贝</v>
      </c>
      <c r="E513" s="9" t="str">
        <f t="shared" si="76"/>
        <v>女</v>
      </c>
      <c r="F513" s="9" t="str">
        <f>"63992024042312492173443"</f>
        <v>63992024042312492173443</v>
      </c>
      <c r="G513" s="9" t="str">
        <f t="shared" si="78"/>
        <v>0206</v>
      </c>
      <c r="H513" s="9" t="s">
        <v>12</v>
      </c>
      <c r="I513" s="12"/>
    </row>
    <row r="514" spans="1:9" ht="30" customHeight="1">
      <c r="A514" s="8">
        <v>512</v>
      </c>
      <c r="B514" s="9" t="s">
        <v>24</v>
      </c>
      <c r="C514" s="9" t="s">
        <v>17</v>
      </c>
      <c r="D514" s="9" t="str">
        <f>"符薰涵"</f>
        <v>符薰涵</v>
      </c>
      <c r="E514" s="9" t="str">
        <f t="shared" si="76"/>
        <v>女</v>
      </c>
      <c r="F514" s="9" t="str">
        <f>"63992024042322331779689"</f>
        <v>63992024042322331779689</v>
      </c>
      <c r="G514" s="9" t="str">
        <f t="shared" si="78"/>
        <v>0206</v>
      </c>
      <c r="H514" s="9" t="s">
        <v>12</v>
      </c>
      <c r="I514" s="12"/>
    </row>
    <row r="515" spans="1:9" ht="30" customHeight="1">
      <c r="A515" s="8">
        <v>513</v>
      </c>
      <c r="B515" s="9" t="s">
        <v>24</v>
      </c>
      <c r="C515" s="9" t="s">
        <v>17</v>
      </c>
      <c r="D515" s="9" t="str">
        <f>"谢永丽"</f>
        <v>谢永丽</v>
      </c>
      <c r="E515" s="9" t="str">
        <f t="shared" si="76"/>
        <v>女</v>
      </c>
      <c r="F515" s="9" t="str">
        <f>"63992024042411060586876"</f>
        <v>63992024042411060586876</v>
      </c>
      <c r="G515" s="9" t="str">
        <f t="shared" si="78"/>
        <v>0206</v>
      </c>
      <c r="H515" s="9" t="s">
        <v>12</v>
      </c>
      <c r="I515" s="12"/>
    </row>
    <row r="516" spans="1:9" ht="30" customHeight="1">
      <c r="A516" s="8">
        <v>514</v>
      </c>
      <c r="B516" s="9" t="s">
        <v>24</v>
      </c>
      <c r="C516" s="9" t="s">
        <v>17</v>
      </c>
      <c r="D516" s="9" t="str">
        <f>"赵肖云"</f>
        <v>赵肖云</v>
      </c>
      <c r="E516" s="9" t="str">
        <f t="shared" si="76"/>
        <v>女</v>
      </c>
      <c r="F516" s="9" t="str">
        <f>"639920240426231400111701"</f>
        <v>639920240426231400111701</v>
      </c>
      <c r="G516" s="9" t="str">
        <f t="shared" si="78"/>
        <v>0206</v>
      </c>
      <c r="H516" s="9" t="s">
        <v>12</v>
      </c>
      <c r="I516" s="12"/>
    </row>
    <row r="517" spans="1:9" ht="30" customHeight="1">
      <c r="A517" s="8">
        <v>515</v>
      </c>
      <c r="B517" s="9" t="s">
        <v>24</v>
      </c>
      <c r="C517" s="9" t="s">
        <v>17</v>
      </c>
      <c r="D517" s="9" t="str">
        <f>"林永教"</f>
        <v>林永教</v>
      </c>
      <c r="E517" s="9" t="str">
        <f t="shared" si="76"/>
        <v>女</v>
      </c>
      <c r="F517" s="9" t="str">
        <f>"639920240428102200114871"</f>
        <v>639920240428102200114871</v>
      </c>
      <c r="G517" s="9" t="str">
        <f t="shared" si="78"/>
        <v>0206</v>
      </c>
      <c r="H517" s="9" t="s">
        <v>12</v>
      </c>
      <c r="I517" s="12"/>
    </row>
    <row r="518" spans="1:9" ht="30" customHeight="1">
      <c r="A518" s="8">
        <v>516</v>
      </c>
      <c r="B518" s="9" t="s">
        <v>24</v>
      </c>
      <c r="C518" s="9" t="s">
        <v>17</v>
      </c>
      <c r="D518" s="9" t="str">
        <f>"张在花"</f>
        <v>张在花</v>
      </c>
      <c r="E518" s="9" t="str">
        <f t="shared" si="76"/>
        <v>女</v>
      </c>
      <c r="F518" s="9" t="str">
        <f>"639920240428233450117312"</f>
        <v>639920240428233450117312</v>
      </c>
      <c r="G518" s="9" t="str">
        <f t="shared" si="78"/>
        <v>0206</v>
      </c>
      <c r="H518" s="9" t="s">
        <v>12</v>
      </c>
      <c r="I518" s="12"/>
    </row>
    <row r="519" spans="1:9" ht="30" customHeight="1">
      <c r="A519" s="8">
        <v>517</v>
      </c>
      <c r="B519" s="9" t="s">
        <v>24</v>
      </c>
      <c r="C519" s="9" t="s">
        <v>17</v>
      </c>
      <c r="D519" s="9" t="str">
        <f>"王健汝"</f>
        <v>王健汝</v>
      </c>
      <c r="E519" s="9" t="str">
        <f t="shared" si="76"/>
        <v>女</v>
      </c>
      <c r="F519" s="9" t="str">
        <f>"639920240429160524119553"</f>
        <v>639920240429160524119553</v>
      </c>
      <c r="G519" s="9" t="str">
        <f t="shared" si="78"/>
        <v>0206</v>
      </c>
      <c r="H519" s="9" t="s">
        <v>12</v>
      </c>
      <c r="I519" s="12"/>
    </row>
    <row r="520" spans="1:9" ht="30" customHeight="1">
      <c r="A520" s="8">
        <v>518</v>
      </c>
      <c r="B520" s="9" t="s">
        <v>24</v>
      </c>
      <c r="C520" s="9" t="s">
        <v>21</v>
      </c>
      <c r="D520" s="9" t="str">
        <f>"蒙秀文"</f>
        <v>蒙秀文</v>
      </c>
      <c r="E520" s="9" t="str">
        <f t="shared" si="76"/>
        <v>女</v>
      </c>
      <c r="F520" s="9" t="str">
        <f>"63992024041916363851355"</f>
        <v>63992024041916363851355</v>
      </c>
      <c r="G520" s="9" t="str">
        <f aca="true" t="shared" si="79" ref="G520:G565">"0207"</f>
        <v>0207</v>
      </c>
      <c r="H520" s="9" t="s">
        <v>12</v>
      </c>
      <c r="I520" s="12"/>
    </row>
    <row r="521" spans="1:9" ht="30" customHeight="1">
      <c r="A521" s="8">
        <v>519</v>
      </c>
      <c r="B521" s="9" t="s">
        <v>24</v>
      </c>
      <c r="C521" s="9" t="s">
        <v>21</v>
      </c>
      <c r="D521" s="9" t="str">
        <f>"李兰菊"</f>
        <v>李兰菊</v>
      </c>
      <c r="E521" s="9" t="str">
        <f t="shared" si="76"/>
        <v>女</v>
      </c>
      <c r="F521" s="9" t="str">
        <f>"63992024042009213452361"</f>
        <v>63992024042009213452361</v>
      </c>
      <c r="G521" s="9" t="str">
        <f t="shared" si="79"/>
        <v>0207</v>
      </c>
      <c r="H521" s="9" t="s">
        <v>12</v>
      </c>
      <c r="I521" s="12"/>
    </row>
    <row r="522" spans="1:9" ht="30" customHeight="1">
      <c r="A522" s="8">
        <v>520</v>
      </c>
      <c r="B522" s="9" t="s">
        <v>24</v>
      </c>
      <c r="C522" s="9" t="s">
        <v>21</v>
      </c>
      <c r="D522" s="9" t="str">
        <f>"曾小慧"</f>
        <v>曾小慧</v>
      </c>
      <c r="E522" s="9" t="str">
        <f t="shared" si="76"/>
        <v>女</v>
      </c>
      <c r="F522" s="9" t="str">
        <f>"63992024042015141152865"</f>
        <v>63992024042015141152865</v>
      </c>
      <c r="G522" s="9" t="str">
        <f t="shared" si="79"/>
        <v>0207</v>
      </c>
      <c r="H522" s="9" t="s">
        <v>12</v>
      </c>
      <c r="I522" s="12"/>
    </row>
    <row r="523" spans="1:9" ht="30" customHeight="1">
      <c r="A523" s="8">
        <v>521</v>
      </c>
      <c r="B523" s="9" t="s">
        <v>24</v>
      </c>
      <c r="C523" s="9" t="s">
        <v>21</v>
      </c>
      <c r="D523" s="9" t="str">
        <f>"李艳颖"</f>
        <v>李艳颖</v>
      </c>
      <c r="E523" s="9" t="str">
        <f t="shared" si="76"/>
        <v>女</v>
      </c>
      <c r="F523" s="9" t="str">
        <f>"63992024042009060752335"</f>
        <v>63992024042009060752335</v>
      </c>
      <c r="G523" s="9" t="str">
        <f t="shared" si="79"/>
        <v>0207</v>
      </c>
      <c r="H523" s="9" t="s">
        <v>12</v>
      </c>
      <c r="I523" s="12"/>
    </row>
    <row r="524" spans="1:9" ht="30" customHeight="1">
      <c r="A524" s="8">
        <v>522</v>
      </c>
      <c r="B524" s="9" t="s">
        <v>24</v>
      </c>
      <c r="C524" s="9" t="s">
        <v>21</v>
      </c>
      <c r="D524" s="9" t="str">
        <f>"符尧丽"</f>
        <v>符尧丽</v>
      </c>
      <c r="E524" s="9" t="str">
        <f t="shared" si="76"/>
        <v>女</v>
      </c>
      <c r="F524" s="9" t="str">
        <f>"63992024042012290852635"</f>
        <v>63992024042012290852635</v>
      </c>
      <c r="G524" s="9" t="str">
        <f t="shared" si="79"/>
        <v>0207</v>
      </c>
      <c r="H524" s="9" t="s">
        <v>12</v>
      </c>
      <c r="I524" s="12"/>
    </row>
    <row r="525" spans="1:9" ht="30" customHeight="1">
      <c r="A525" s="8">
        <v>523</v>
      </c>
      <c r="B525" s="9" t="s">
        <v>24</v>
      </c>
      <c r="C525" s="9" t="s">
        <v>21</v>
      </c>
      <c r="D525" s="9" t="str">
        <f>"黄晓倩"</f>
        <v>黄晓倩</v>
      </c>
      <c r="E525" s="9" t="str">
        <f t="shared" si="76"/>
        <v>女</v>
      </c>
      <c r="F525" s="9" t="str">
        <f>"63992024042113251557277"</f>
        <v>63992024042113251557277</v>
      </c>
      <c r="G525" s="9" t="str">
        <f t="shared" si="79"/>
        <v>0207</v>
      </c>
      <c r="H525" s="9" t="s">
        <v>12</v>
      </c>
      <c r="I525" s="12"/>
    </row>
    <row r="526" spans="1:9" ht="30" customHeight="1">
      <c r="A526" s="8">
        <v>524</v>
      </c>
      <c r="B526" s="9" t="s">
        <v>24</v>
      </c>
      <c r="C526" s="9" t="s">
        <v>21</v>
      </c>
      <c r="D526" s="9" t="str">
        <f>"王菘"</f>
        <v>王菘</v>
      </c>
      <c r="E526" s="9" t="str">
        <f aca="true" t="shared" si="80" ref="E526:E530">"男"</f>
        <v>男</v>
      </c>
      <c r="F526" s="9" t="str">
        <f>"63992024042114125057343"</f>
        <v>63992024042114125057343</v>
      </c>
      <c r="G526" s="9" t="str">
        <f t="shared" si="79"/>
        <v>0207</v>
      </c>
      <c r="H526" s="9" t="s">
        <v>12</v>
      </c>
      <c r="I526" s="12"/>
    </row>
    <row r="527" spans="1:9" ht="30" customHeight="1">
      <c r="A527" s="8">
        <v>525</v>
      </c>
      <c r="B527" s="9" t="s">
        <v>24</v>
      </c>
      <c r="C527" s="9" t="s">
        <v>21</v>
      </c>
      <c r="D527" s="9" t="str">
        <f>"黄卓行"</f>
        <v>黄卓行</v>
      </c>
      <c r="E527" s="9" t="str">
        <f t="shared" si="80"/>
        <v>男</v>
      </c>
      <c r="F527" s="9" t="str">
        <f>"63992024042115500857501"</f>
        <v>63992024042115500857501</v>
      </c>
      <c r="G527" s="9" t="str">
        <f t="shared" si="79"/>
        <v>0207</v>
      </c>
      <c r="H527" s="9" t="s">
        <v>12</v>
      </c>
      <c r="I527" s="12"/>
    </row>
    <row r="528" spans="1:9" ht="30" customHeight="1">
      <c r="A528" s="8">
        <v>526</v>
      </c>
      <c r="B528" s="9" t="s">
        <v>24</v>
      </c>
      <c r="C528" s="9" t="s">
        <v>21</v>
      </c>
      <c r="D528" s="9" t="str">
        <f>"何淑娇"</f>
        <v>何淑娇</v>
      </c>
      <c r="E528" s="9" t="str">
        <f aca="true" t="shared" si="81" ref="E528:E533">"女"</f>
        <v>女</v>
      </c>
      <c r="F528" s="9" t="str">
        <f>"63992024042111334957098"</f>
        <v>63992024042111334957098</v>
      </c>
      <c r="G528" s="9" t="str">
        <f t="shared" si="79"/>
        <v>0207</v>
      </c>
      <c r="H528" s="9" t="s">
        <v>12</v>
      </c>
      <c r="I528" s="12"/>
    </row>
    <row r="529" spans="1:9" ht="30" customHeight="1">
      <c r="A529" s="8">
        <v>527</v>
      </c>
      <c r="B529" s="9" t="s">
        <v>24</v>
      </c>
      <c r="C529" s="9" t="s">
        <v>21</v>
      </c>
      <c r="D529" s="9" t="str">
        <f>"陈玉欢"</f>
        <v>陈玉欢</v>
      </c>
      <c r="E529" s="9" t="str">
        <f t="shared" si="81"/>
        <v>女</v>
      </c>
      <c r="F529" s="9" t="str">
        <f>"63992024042120061457821"</f>
        <v>63992024042120061457821</v>
      </c>
      <c r="G529" s="9" t="str">
        <f t="shared" si="79"/>
        <v>0207</v>
      </c>
      <c r="H529" s="9" t="s">
        <v>12</v>
      </c>
      <c r="I529" s="12"/>
    </row>
    <row r="530" spans="1:9" ht="39.75" customHeight="1">
      <c r="A530" s="8">
        <v>528</v>
      </c>
      <c r="B530" s="9" t="s">
        <v>24</v>
      </c>
      <c r="C530" s="9" t="s">
        <v>21</v>
      </c>
      <c r="D530" s="9" t="str">
        <f>"李蔚"</f>
        <v>李蔚</v>
      </c>
      <c r="E530" s="9" t="str">
        <f t="shared" si="80"/>
        <v>男</v>
      </c>
      <c r="F530" s="9" t="str">
        <f>"63992024042212151561169"</f>
        <v>63992024042212151561169</v>
      </c>
      <c r="G530" s="9" t="str">
        <f t="shared" si="79"/>
        <v>0207</v>
      </c>
      <c r="H530" s="10" t="s">
        <v>15</v>
      </c>
      <c r="I530" s="12"/>
    </row>
    <row r="531" spans="1:9" ht="39.75" customHeight="1">
      <c r="A531" s="8">
        <v>529</v>
      </c>
      <c r="B531" s="9" t="s">
        <v>24</v>
      </c>
      <c r="C531" s="9" t="s">
        <v>21</v>
      </c>
      <c r="D531" s="9" t="str">
        <f>"张志瑶"</f>
        <v>张志瑶</v>
      </c>
      <c r="E531" s="9" t="str">
        <f t="shared" si="81"/>
        <v>女</v>
      </c>
      <c r="F531" s="9" t="str">
        <f>"63992024042215522465811"</f>
        <v>63992024042215522465811</v>
      </c>
      <c r="G531" s="9" t="str">
        <f t="shared" si="79"/>
        <v>0207</v>
      </c>
      <c r="H531" s="10" t="s">
        <v>15</v>
      </c>
      <c r="I531" s="12"/>
    </row>
    <row r="532" spans="1:9" ht="30" customHeight="1">
      <c r="A532" s="8">
        <v>530</v>
      </c>
      <c r="B532" s="9" t="s">
        <v>24</v>
      </c>
      <c r="C532" s="9" t="s">
        <v>21</v>
      </c>
      <c r="D532" s="9" t="str">
        <f>"洪雅"</f>
        <v>洪雅</v>
      </c>
      <c r="E532" s="9" t="str">
        <f t="shared" si="81"/>
        <v>女</v>
      </c>
      <c r="F532" s="9" t="str">
        <f>"63992024042216131165976"</f>
        <v>63992024042216131165976</v>
      </c>
      <c r="G532" s="9" t="str">
        <f t="shared" si="79"/>
        <v>0207</v>
      </c>
      <c r="H532" s="9" t="s">
        <v>12</v>
      </c>
      <c r="I532" s="12"/>
    </row>
    <row r="533" spans="1:9" ht="39.75" customHeight="1">
      <c r="A533" s="8">
        <v>531</v>
      </c>
      <c r="B533" s="9" t="s">
        <v>24</v>
      </c>
      <c r="C533" s="9" t="s">
        <v>21</v>
      </c>
      <c r="D533" s="9" t="str">
        <f>"吴欢"</f>
        <v>吴欢</v>
      </c>
      <c r="E533" s="9" t="str">
        <f t="shared" si="81"/>
        <v>女</v>
      </c>
      <c r="F533" s="9" t="str">
        <f>"63992024042216262766083"</f>
        <v>63992024042216262766083</v>
      </c>
      <c r="G533" s="9" t="str">
        <f t="shared" si="79"/>
        <v>0207</v>
      </c>
      <c r="H533" s="10" t="s">
        <v>15</v>
      </c>
      <c r="I533" s="12"/>
    </row>
    <row r="534" spans="1:9" ht="39.75" customHeight="1">
      <c r="A534" s="8">
        <v>532</v>
      </c>
      <c r="B534" s="9" t="s">
        <v>24</v>
      </c>
      <c r="C534" s="9" t="s">
        <v>21</v>
      </c>
      <c r="D534" s="9" t="str">
        <f>"李拔鸿"</f>
        <v>李拔鸿</v>
      </c>
      <c r="E534" s="9" t="str">
        <f aca="true" t="shared" si="82" ref="E534:E537">"男"</f>
        <v>男</v>
      </c>
      <c r="F534" s="9" t="str">
        <f>"63992024042220295167624"</f>
        <v>63992024042220295167624</v>
      </c>
      <c r="G534" s="9" t="str">
        <f t="shared" si="79"/>
        <v>0207</v>
      </c>
      <c r="H534" s="10" t="s">
        <v>15</v>
      </c>
      <c r="I534" s="12"/>
    </row>
    <row r="535" spans="1:9" ht="30" customHeight="1">
      <c r="A535" s="8">
        <v>533</v>
      </c>
      <c r="B535" s="9" t="s">
        <v>24</v>
      </c>
      <c r="C535" s="9" t="s">
        <v>21</v>
      </c>
      <c r="D535" s="9" t="str">
        <f>"屠丹丹"</f>
        <v>屠丹丹</v>
      </c>
      <c r="E535" s="9" t="str">
        <f aca="true" t="shared" si="83" ref="E535:E542">"女"</f>
        <v>女</v>
      </c>
      <c r="F535" s="9" t="str">
        <f>"63992024042222245068298"</f>
        <v>63992024042222245068298</v>
      </c>
      <c r="G535" s="9" t="str">
        <f t="shared" si="79"/>
        <v>0207</v>
      </c>
      <c r="H535" s="9" t="s">
        <v>12</v>
      </c>
      <c r="I535" s="12"/>
    </row>
    <row r="536" spans="1:9" ht="30" customHeight="1">
      <c r="A536" s="8">
        <v>534</v>
      </c>
      <c r="B536" s="9" t="s">
        <v>24</v>
      </c>
      <c r="C536" s="9" t="s">
        <v>21</v>
      </c>
      <c r="D536" s="9" t="str">
        <f>"陈金德"</f>
        <v>陈金德</v>
      </c>
      <c r="E536" s="9" t="str">
        <f t="shared" si="82"/>
        <v>男</v>
      </c>
      <c r="F536" s="9" t="str">
        <f>"63992024042310445571599"</f>
        <v>63992024042310445571599</v>
      </c>
      <c r="G536" s="9" t="str">
        <f t="shared" si="79"/>
        <v>0207</v>
      </c>
      <c r="H536" s="9" t="s">
        <v>12</v>
      </c>
      <c r="I536" s="12"/>
    </row>
    <row r="537" spans="1:9" ht="30" customHeight="1">
      <c r="A537" s="8">
        <v>535</v>
      </c>
      <c r="B537" s="9" t="s">
        <v>24</v>
      </c>
      <c r="C537" s="9" t="s">
        <v>21</v>
      </c>
      <c r="D537" s="9" t="str">
        <f>"陈青云"</f>
        <v>陈青云</v>
      </c>
      <c r="E537" s="9" t="str">
        <f t="shared" si="82"/>
        <v>男</v>
      </c>
      <c r="F537" s="9" t="str">
        <f>"63992024042311464372792"</f>
        <v>63992024042311464372792</v>
      </c>
      <c r="G537" s="9" t="str">
        <f t="shared" si="79"/>
        <v>0207</v>
      </c>
      <c r="H537" s="9" t="s">
        <v>12</v>
      </c>
      <c r="I537" s="12"/>
    </row>
    <row r="538" spans="1:9" ht="30" customHeight="1">
      <c r="A538" s="8">
        <v>536</v>
      </c>
      <c r="B538" s="9" t="s">
        <v>24</v>
      </c>
      <c r="C538" s="9" t="s">
        <v>21</v>
      </c>
      <c r="D538" s="9" t="str">
        <f>"李莉"</f>
        <v>李莉</v>
      </c>
      <c r="E538" s="9" t="str">
        <f t="shared" si="83"/>
        <v>女</v>
      </c>
      <c r="F538" s="9" t="str">
        <f>"63992024042208595458699"</f>
        <v>63992024042208595458699</v>
      </c>
      <c r="G538" s="9" t="str">
        <f t="shared" si="79"/>
        <v>0207</v>
      </c>
      <c r="H538" s="9" t="s">
        <v>12</v>
      </c>
      <c r="I538" s="12"/>
    </row>
    <row r="539" spans="1:9" ht="30" customHeight="1">
      <c r="A539" s="8">
        <v>537</v>
      </c>
      <c r="B539" s="9" t="s">
        <v>24</v>
      </c>
      <c r="C539" s="9" t="s">
        <v>21</v>
      </c>
      <c r="D539" s="9" t="str">
        <f>"符冬露"</f>
        <v>符冬露</v>
      </c>
      <c r="E539" s="9" t="str">
        <f t="shared" si="83"/>
        <v>女</v>
      </c>
      <c r="F539" s="9" t="str">
        <f>"63992024042319114778042"</f>
        <v>63992024042319114778042</v>
      </c>
      <c r="G539" s="9" t="str">
        <f t="shared" si="79"/>
        <v>0207</v>
      </c>
      <c r="H539" s="9" t="s">
        <v>12</v>
      </c>
      <c r="I539" s="12"/>
    </row>
    <row r="540" spans="1:9" ht="30" customHeight="1">
      <c r="A540" s="8">
        <v>538</v>
      </c>
      <c r="B540" s="9" t="s">
        <v>24</v>
      </c>
      <c r="C540" s="9" t="s">
        <v>21</v>
      </c>
      <c r="D540" s="9" t="str">
        <f>"梁福俐"</f>
        <v>梁福俐</v>
      </c>
      <c r="E540" s="9" t="str">
        <f t="shared" si="83"/>
        <v>女</v>
      </c>
      <c r="F540" s="9" t="str">
        <f>"63992024042318471977864"</f>
        <v>63992024042318471977864</v>
      </c>
      <c r="G540" s="9" t="str">
        <f t="shared" si="79"/>
        <v>0207</v>
      </c>
      <c r="H540" s="9" t="s">
        <v>12</v>
      </c>
      <c r="I540" s="12"/>
    </row>
    <row r="541" spans="1:9" ht="30" customHeight="1">
      <c r="A541" s="8">
        <v>539</v>
      </c>
      <c r="B541" s="9" t="s">
        <v>24</v>
      </c>
      <c r="C541" s="9" t="s">
        <v>21</v>
      </c>
      <c r="D541" s="9" t="str">
        <f>"王莹莹"</f>
        <v>王莹莹</v>
      </c>
      <c r="E541" s="9" t="str">
        <f t="shared" si="83"/>
        <v>女</v>
      </c>
      <c r="F541" s="9" t="str">
        <f>"63992024042322433279756"</f>
        <v>63992024042322433279756</v>
      </c>
      <c r="G541" s="9" t="str">
        <f t="shared" si="79"/>
        <v>0207</v>
      </c>
      <c r="H541" s="9" t="s">
        <v>12</v>
      </c>
      <c r="I541" s="12"/>
    </row>
    <row r="542" spans="1:9" ht="30" customHeight="1">
      <c r="A542" s="8">
        <v>540</v>
      </c>
      <c r="B542" s="9" t="s">
        <v>24</v>
      </c>
      <c r="C542" s="9" t="s">
        <v>21</v>
      </c>
      <c r="D542" s="9" t="str">
        <f>"许华平"</f>
        <v>许华平</v>
      </c>
      <c r="E542" s="9" t="str">
        <f t="shared" si="83"/>
        <v>女</v>
      </c>
      <c r="F542" s="9" t="str">
        <f>"63992024042323084379928"</f>
        <v>63992024042323084379928</v>
      </c>
      <c r="G542" s="9" t="str">
        <f t="shared" si="79"/>
        <v>0207</v>
      </c>
      <c r="H542" s="9" t="s">
        <v>12</v>
      </c>
      <c r="I542" s="12"/>
    </row>
    <row r="543" spans="1:9" ht="30" customHeight="1">
      <c r="A543" s="8">
        <v>541</v>
      </c>
      <c r="B543" s="9" t="s">
        <v>24</v>
      </c>
      <c r="C543" s="9" t="s">
        <v>21</v>
      </c>
      <c r="D543" s="9" t="str">
        <f>"符明凯"</f>
        <v>符明凯</v>
      </c>
      <c r="E543" s="9" t="str">
        <f aca="true" t="shared" si="84" ref="E543:E548">"男"</f>
        <v>男</v>
      </c>
      <c r="F543" s="9" t="str">
        <f>"63992024042408031881418"</f>
        <v>63992024042408031881418</v>
      </c>
      <c r="G543" s="9" t="str">
        <f t="shared" si="79"/>
        <v>0207</v>
      </c>
      <c r="H543" s="9" t="s">
        <v>12</v>
      </c>
      <c r="I543" s="12"/>
    </row>
    <row r="544" spans="1:9" ht="30" customHeight="1">
      <c r="A544" s="8">
        <v>542</v>
      </c>
      <c r="B544" s="9" t="s">
        <v>24</v>
      </c>
      <c r="C544" s="9" t="s">
        <v>21</v>
      </c>
      <c r="D544" s="9" t="str">
        <f>"王小玉"</f>
        <v>王小玉</v>
      </c>
      <c r="E544" s="9" t="str">
        <f aca="true" t="shared" si="85" ref="E544:E547">"女"</f>
        <v>女</v>
      </c>
      <c r="F544" s="9" t="str">
        <f>"63992024042314160174205"</f>
        <v>63992024042314160174205</v>
      </c>
      <c r="G544" s="9" t="str">
        <f t="shared" si="79"/>
        <v>0207</v>
      </c>
      <c r="H544" s="9" t="s">
        <v>12</v>
      </c>
      <c r="I544" s="12"/>
    </row>
    <row r="545" spans="1:9" ht="30" customHeight="1">
      <c r="A545" s="8">
        <v>543</v>
      </c>
      <c r="B545" s="9" t="s">
        <v>24</v>
      </c>
      <c r="C545" s="9" t="s">
        <v>21</v>
      </c>
      <c r="D545" s="9" t="str">
        <f>"王修明"</f>
        <v>王修明</v>
      </c>
      <c r="E545" s="9" t="str">
        <f t="shared" si="84"/>
        <v>男</v>
      </c>
      <c r="F545" s="9" t="str">
        <f>"63992024042323031179894"</f>
        <v>63992024042323031179894</v>
      </c>
      <c r="G545" s="9" t="str">
        <f t="shared" si="79"/>
        <v>0207</v>
      </c>
      <c r="H545" s="9" t="s">
        <v>12</v>
      </c>
      <c r="I545" s="12"/>
    </row>
    <row r="546" spans="1:9" ht="30" customHeight="1">
      <c r="A546" s="8">
        <v>544</v>
      </c>
      <c r="B546" s="9" t="s">
        <v>24</v>
      </c>
      <c r="C546" s="9" t="s">
        <v>21</v>
      </c>
      <c r="D546" s="9" t="str">
        <f>"姚甜甜"</f>
        <v>姚甜甜</v>
      </c>
      <c r="E546" s="9" t="str">
        <f t="shared" si="85"/>
        <v>女</v>
      </c>
      <c r="F546" s="9" t="str">
        <f>"63992024042417153491570"</f>
        <v>63992024042417153491570</v>
      </c>
      <c r="G546" s="9" t="str">
        <f t="shared" si="79"/>
        <v>0207</v>
      </c>
      <c r="H546" s="9" t="s">
        <v>12</v>
      </c>
      <c r="I546" s="12"/>
    </row>
    <row r="547" spans="1:9" ht="30" customHeight="1">
      <c r="A547" s="8">
        <v>545</v>
      </c>
      <c r="B547" s="9" t="s">
        <v>24</v>
      </c>
      <c r="C547" s="9" t="s">
        <v>21</v>
      </c>
      <c r="D547" s="9" t="str">
        <f>"羊美丽"</f>
        <v>羊美丽</v>
      </c>
      <c r="E547" s="9" t="str">
        <f t="shared" si="85"/>
        <v>女</v>
      </c>
      <c r="F547" s="9" t="str">
        <f>"63992024042419340792177"</f>
        <v>63992024042419340792177</v>
      </c>
      <c r="G547" s="9" t="str">
        <f t="shared" si="79"/>
        <v>0207</v>
      </c>
      <c r="H547" s="9" t="s">
        <v>12</v>
      </c>
      <c r="I547" s="12"/>
    </row>
    <row r="548" spans="1:9" ht="30" customHeight="1">
      <c r="A548" s="8">
        <v>546</v>
      </c>
      <c r="B548" s="9" t="s">
        <v>24</v>
      </c>
      <c r="C548" s="9" t="s">
        <v>21</v>
      </c>
      <c r="D548" s="9" t="str">
        <f>"王筱"</f>
        <v>王筱</v>
      </c>
      <c r="E548" s="9" t="str">
        <f t="shared" si="84"/>
        <v>男</v>
      </c>
      <c r="F548" s="9" t="str">
        <f>"63992024042420224292404"</f>
        <v>63992024042420224292404</v>
      </c>
      <c r="G548" s="9" t="str">
        <f t="shared" si="79"/>
        <v>0207</v>
      </c>
      <c r="H548" s="9" t="s">
        <v>12</v>
      </c>
      <c r="I548" s="12"/>
    </row>
    <row r="549" spans="1:9" ht="30" customHeight="1">
      <c r="A549" s="8">
        <v>547</v>
      </c>
      <c r="B549" s="9" t="s">
        <v>24</v>
      </c>
      <c r="C549" s="9" t="s">
        <v>21</v>
      </c>
      <c r="D549" s="9" t="str">
        <f>"邓明珠"</f>
        <v>邓明珠</v>
      </c>
      <c r="E549" s="9" t="str">
        <f aca="true" t="shared" si="86" ref="E549:E552">"女"</f>
        <v>女</v>
      </c>
      <c r="F549" s="9" t="str">
        <f>"63992024042102102956787"</f>
        <v>63992024042102102956787</v>
      </c>
      <c r="G549" s="9" t="str">
        <f t="shared" si="79"/>
        <v>0207</v>
      </c>
      <c r="H549" s="9" t="s">
        <v>12</v>
      </c>
      <c r="I549" s="12"/>
    </row>
    <row r="550" spans="1:9" ht="39.75" customHeight="1">
      <c r="A550" s="8">
        <v>548</v>
      </c>
      <c r="B550" s="9" t="s">
        <v>24</v>
      </c>
      <c r="C550" s="9" t="s">
        <v>21</v>
      </c>
      <c r="D550" s="9" t="str">
        <f>"王客"</f>
        <v>王客</v>
      </c>
      <c r="E550" s="9" t="str">
        <f t="shared" si="86"/>
        <v>女</v>
      </c>
      <c r="F550" s="9" t="str">
        <f>"63992024042423161793261"</f>
        <v>63992024042423161793261</v>
      </c>
      <c r="G550" s="9" t="str">
        <f t="shared" si="79"/>
        <v>0207</v>
      </c>
      <c r="H550" s="10" t="s">
        <v>15</v>
      </c>
      <c r="I550" s="12"/>
    </row>
    <row r="551" spans="1:9" ht="30" customHeight="1">
      <c r="A551" s="8">
        <v>549</v>
      </c>
      <c r="B551" s="9" t="s">
        <v>24</v>
      </c>
      <c r="C551" s="9" t="s">
        <v>21</v>
      </c>
      <c r="D551" s="9" t="str">
        <f>"林天雄"</f>
        <v>林天雄</v>
      </c>
      <c r="E551" s="9" t="str">
        <f aca="true" t="shared" si="87" ref="E551:E556">"男"</f>
        <v>男</v>
      </c>
      <c r="F551" s="9" t="str">
        <f>"63992024042508321293728"</f>
        <v>63992024042508321293728</v>
      </c>
      <c r="G551" s="9" t="str">
        <f t="shared" si="79"/>
        <v>0207</v>
      </c>
      <c r="H551" s="9" t="s">
        <v>12</v>
      </c>
      <c r="I551" s="12"/>
    </row>
    <row r="552" spans="1:9" ht="30" customHeight="1">
      <c r="A552" s="8">
        <v>550</v>
      </c>
      <c r="B552" s="9" t="s">
        <v>24</v>
      </c>
      <c r="C552" s="9" t="s">
        <v>21</v>
      </c>
      <c r="D552" s="9" t="str">
        <f>"陈晓萍"</f>
        <v>陈晓萍</v>
      </c>
      <c r="E552" s="9" t="str">
        <f t="shared" si="86"/>
        <v>女</v>
      </c>
      <c r="F552" s="9" t="str">
        <f>"63992024042508400793749"</f>
        <v>63992024042508400793749</v>
      </c>
      <c r="G552" s="9" t="str">
        <f t="shared" si="79"/>
        <v>0207</v>
      </c>
      <c r="H552" s="9" t="s">
        <v>12</v>
      </c>
      <c r="I552" s="12"/>
    </row>
    <row r="553" spans="1:9" ht="30" customHeight="1">
      <c r="A553" s="8">
        <v>551</v>
      </c>
      <c r="B553" s="9" t="s">
        <v>24</v>
      </c>
      <c r="C553" s="9" t="s">
        <v>21</v>
      </c>
      <c r="D553" s="9" t="str">
        <f>"邓亚漂"</f>
        <v>邓亚漂</v>
      </c>
      <c r="E553" s="9" t="str">
        <f t="shared" si="87"/>
        <v>男</v>
      </c>
      <c r="F553" s="9" t="str">
        <f>"63992024042216160765997"</f>
        <v>63992024042216160765997</v>
      </c>
      <c r="G553" s="9" t="str">
        <f t="shared" si="79"/>
        <v>0207</v>
      </c>
      <c r="H553" s="9" t="s">
        <v>12</v>
      </c>
      <c r="I553" s="12"/>
    </row>
    <row r="554" spans="1:9" ht="30" customHeight="1">
      <c r="A554" s="8">
        <v>552</v>
      </c>
      <c r="B554" s="9" t="s">
        <v>24</v>
      </c>
      <c r="C554" s="9" t="s">
        <v>21</v>
      </c>
      <c r="D554" s="9" t="str">
        <f>"王玮娴"</f>
        <v>王玮娴</v>
      </c>
      <c r="E554" s="9" t="str">
        <f aca="true" t="shared" si="88" ref="E554:E565">"女"</f>
        <v>女</v>
      </c>
      <c r="F554" s="9" t="str">
        <f>"63992024042510165494391"</f>
        <v>63992024042510165494391</v>
      </c>
      <c r="G554" s="9" t="str">
        <f t="shared" si="79"/>
        <v>0207</v>
      </c>
      <c r="H554" s="9" t="s">
        <v>12</v>
      </c>
      <c r="I554" s="12"/>
    </row>
    <row r="555" spans="1:9" ht="30" customHeight="1">
      <c r="A555" s="8">
        <v>553</v>
      </c>
      <c r="B555" s="9" t="s">
        <v>24</v>
      </c>
      <c r="C555" s="9" t="s">
        <v>21</v>
      </c>
      <c r="D555" s="9" t="str">
        <f>"刘焕冬"</f>
        <v>刘焕冬</v>
      </c>
      <c r="E555" s="9" t="str">
        <f t="shared" si="88"/>
        <v>女</v>
      </c>
      <c r="F555" s="9" t="str">
        <f>"63992024042509505694189"</f>
        <v>63992024042509505694189</v>
      </c>
      <c r="G555" s="9" t="str">
        <f t="shared" si="79"/>
        <v>0207</v>
      </c>
      <c r="H555" s="9" t="s">
        <v>12</v>
      </c>
      <c r="I555" s="12"/>
    </row>
    <row r="556" spans="1:9" ht="30" customHeight="1">
      <c r="A556" s="8">
        <v>554</v>
      </c>
      <c r="B556" s="9" t="s">
        <v>24</v>
      </c>
      <c r="C556" s="9" t="s">
        <v>21</v>
      </c>
      <c r="D556" s="9" t="str">
        <f>"林彬"</f>
        <v>林彬</v>
      </c>
      <c r="E556" s="9" t="str">
        <f t="shared" si="87"/>
        <v>男</v>
      </c>
      <c r="F556" s="9" t="str">
        <f>"63992024042521150397929"</f>
        <v>63992024042521150397929</v>
      </c>
      <c r="G556" s="9" t="str">
        <f t="shared" si="79"/>
        <v>0207</v>
      </c>
      <c r="H556" s="9" t="s">
        <v>12</v>
      </c>
      <c r="I556" s="12"/>
    </row>
    <row r="557" spans="1:9" ht="30" customHeight="1">
      <c r="A557" s="8">
        <v>555</v>
      </c>
      <c r="B557" s="9" t="s">
        <v>24</v>
      </c>
      <c r="C557" s="9" t="s">
        <v>21</v>
      </c>
      <c r="D557" s="9" t="str">
        <f>"张娟娇"</f>
        <v>张娟娇</v>
      </c>
      <c r="E557" s="9" t="str">
        <f t="shared" si="88"/>
        <v>女</v>
      </c>
      <c r="F557" s="9" t="str">
        <f>"639920240426103250109598"</f>
        <v>639920240426103250109598</v>
      </c>
      <c r="G557" s="9" t="str">
        <f t="shared" si="79"/>
        <v>0207</v>
      </c>
      <c r="H557" s="9" t="s">
        <v>12</v>
      </c>
      <c r="I557" s="12"/>
    </row>
    <row r="558" spans="1:9" ht="30" customHeight="1">
      <c r="A558" s="8">
        <v>556</v>
      </c>
      <c r="B558" s="9" t="s">
        <v>24</v>
      </c>
      <c r="C558" s="9" t="s">
        <v>21</v>
      </c>
      <c r="D558" s="9" t="str">
        <f>"李世欣"</f>
        <v>李世欣</v>
      </c>
      <c r="E558" s="9" t="str">
        <f t="shared" si="88"/>
        <v>女</v>
      </c>
      <c r="F558" s="9" t="str">
        <f>"63992024042318414177822"</f>
        <v>63992024042318414177822</v>
      </c>
      <c r="G558" s="9" t="str">
        <f t="shared" si="79"/>
        <v>0207</v>
      </c>
      <c r="H558" s="9" t="s">
        <v>12</v>
      </c>
      <c r="I558" s="12"/>
    </row>
    <row r="559" spans="1:9" ht="30" customHeight="1">
      <c r="A559" s="8">
        <v>557</v>
      </c>
      <c r="B559" s="9" t="s">
        <v>24</v>
      </c>
      <c r="C559" s="9" t="s">
        <v>21</v>
      </c>
      <c r="D559" s="9" t="str">
        <f>"周美君"</f>
        <v>周美君</v>
      </c>
      <c r="E559" s="9" t="str">
        <f t="shared" si="88"/>
        <v>女</v>
      </c>
      <c r="F559" s="9" t="str">
        <f>"639920240427074923111812"</f>
        <v>639920240427074923111812</v>
      </c>
      <c r="G559" s="9" t="str">
        <f t="shared" si="79"/>
        <v>0207</v>
      </c>
      <c r="H559" s="9" t="s">
        <v>12</v>
      </c>
      <c r="I559" s="12"/>
    </row>
    <row r="560" spans="1:9" ht="30" customHeight="1">
      <c r="A560" s="8">
        <v>558</v>
      </c>
      <c r="B560" s="9" t="s">
        <v>24</v>
      </c>
      <c r="C560" s="9" t="s">
        <v>21</v>
      </c>
      <c r="D560" s="9" t="str">
        <f>"卢惠"</f>
        <v>卢惠</v>
      </c>
      <c r="E560" s="9" t="str">
        <f t="shared" si="88"/>
        <v>女</v>
      </c>
      <c r="F560" s="9" t="str">
        <f>"639920240427112708112396"</f>
        <v>639920240427112708112396</v>
      </c>
      <c r="G560" s="9" t="str">
        <f t="shared" si="79"/>
        <v>0207</v>
      </c>
      <c r="H560" s="9" t="s">
        <v>12</v>
      </c>
      <c r="I560" s="12"/>
    </row>
    <row r="561" spans="1:9" ht="30" customHeight="1">
      <c r="A561" s="8">
        <v>559</v>
      </c>
      <c r="B561" s="9" t="s">
        <v>24</v>
      </c>
      <c r="C561" s="9" t="s">
        <v>21</v>
      </c>
      <c r="D561" s="9" t="str">
        <f>"高忠霞"</f>
        <v>高忠霞</v>
      </c>
      <c r="E561" s="9" t="str">
        <f t="shared" si="88"/>
        <v>女</v>
      </c>
      <c r="F561" s="9" t="str">
        <f>"639920240428105241115061"</f>
        <v>639920240428105241115061</v>
      </c>
      <c r="G561" s="9" t="str">
        <f t="shared" si="79"/>
        <v>0207</v>
      </c>
      <c r="H561" s="9" t="s">
        <v>12</v>
      </c>
      <c r="I561" s="12"/>
    </row>
    <row r="562" spans="1:9" ht="30" customHeight="1">
      <c r="A562" s="8">
        <v>560</v>
      </c>
      <c r="B562" s="9" t="s">
        <v>24</v>
      </c>
      <c r="C562" s="9" t="s">
        <v>21</v>
      </c>
      <c r="D562" s="9" t="str">
        <f>"颜光钰"</f>
        <v>颜光钰</v>
      </c>
      <c r="E562" s="9" t="str">
        <f t="shared" si="88"/>
        <v>女</v>
      </c>
      <c r="F562" s="9" t="str">
        <f>"639920240428173855116554"</f>
        <v>639920240428173855116554</v>
      </c>
      <c r="G562" s="9" t="str">
        <f t="shared" si="79"/>
        <v>0207</v>
      </c>
      <c r="H562" s="9" t="s">
        <v>12</v>
      </c>
      <c r="I562" s="12"/>
    </row>
    <row r="563" spans="1:9" ht="30" customHeight="1">
      <c r="A563" s="8">
        <v>561</v>
      </c>
      <c r="B563" s="9" t="s">
        <v>24</v>
      </c>
      <c r="C563" s="9" t="s">
        <v>21</v>
      </c>
      <c r="D563" s="9" t="str">
        <f>"王朝霞"</f>
        <v>王朝霞</v>
      </c>
      <c r="E563" s="9" t="str">
        <f t="shared" si="88"/>
        <v>女</v>
      </c>
      <c r="F563" s="9" t="str">
        <f>"639920240428213624117090"</f>
        <v>639920240428213624117090</v>
      </c>
      <c r="G563" s="9" t="str">
        <f t="shared" si="79"/>
        <v>0207</v>
      </c>
      <c r="H563" s="9" t="s">
        <v>12</v>
      </c>
      <c r="I563" s="12"/>
    </row>
    <row r="564" spans="1:9" ht="30" customHeight="1">
      <c r="A564" s="8">
        <v>562</v>
      </c>
      <c r="B564" s="9" t="s">
        <v>24</v>
      </c>
      <c r="C564" s="9" t="s">
        <v>21</v>
      </c>
      <c r="D564" s="9" t="str">
        <f>"黄欣欣"</f>
        <v>黄欣欣</v>
      </c>
      <c r="E564" s="9" t="str">
        <f t="shared" si="88"/>
        <v>女</v>
      </c>
      <c r="F564" s="9" t="str">
        <f>"639920240429101933118031"</f>
        <v>639920240429101933118031</v>
      </c>
      <c r="G564" s="9" t="str">
        <f t="shared" si="79"/>
        <v>0207</v>
      </c>
      <c r="H564" s="9" t="s">
        <v>12</v>
      </c>
      <c r="I564" s="12"/>
    </row>
    <row r="565" spans="1:9" ht="30" customHeight="1">
      <c r="A565" s="8">
        <v>563</v>
      </c>
      <c r="B565" s="9" t="s">
        <v>24</v>
      </c>
      <c r="C565" s="9" t="s">
        <v>21</v>
      </c>
      <c r="D565" s="9" t="str">
        <f>"周荧"</f>
        <v>周荧</v>
      </c>
      <c r="E565" s="9" t="str">
        <f t="shared" si="88"/>
        <v>女</v>
      </c>
      <c r="F565" s="9" t="str">
        <f>"639920240429155625119512"</f>
        <v>639920240429155625119512</v>
      </c>
      <c r="G565" s="9" t="str">
        <f t="shared" si="79"/>
        <v>0207</v>
      </c>
      <c r="H565" s="9" t="s">
        <v>12</v>
      </c>
      <c r="I565" s="12"/>
    </row>
    <row r="566" spans="1:9" ht="30" customHeight="1">
      <c r="A566" s="8">
        <v>564</v>
      </c>
      <c r="B566" s="9" t="s">
        <v>24</v>
      </c>
      <c r="C566" s="9" t="s">
        <v>26</v>
      </c>
      <c r="D566" s="9" t="str">
        <f>"许俊华"</f>
        <v>许俊华</v>
      </c>
      <c r="E566" s="9" t="str">
        <f aca="true" t="shared" si="89" ref="E566:E569">"男"</f>
        <v>男</v>
      </c>
      <c r="F566" s="9" t="str">
        <f>"63992024041917074751492"</f>
        <v>63992024041917074751492</v>
      </c>
      <c r="G566" s="9" t="str">
        <f aca="true" t="shared" si="90" ref="G566:G590">"0208"</f>
        <v>0208</v>
      </c>
      <c r="H566" s="9" t="s">
        <v>12</v>
      </c>
      <c r="I566" s="12"/>
    </row>
    <row r="567" spans="1:9" ht="30" customHeight="1">
      <c r="A567" s="8">
        <v>565</v>
      </c>
      <c r="B567" s="9" t="s">
        <v>24</v>
      </c>
      <c r="C567" s="9" t="s">
        <v>26</v>
      </c>
      <c r="D567" s="9" t="str">
        <f>"张凯钧"</f>
        <v>张凯钧</v>
      </c>
      <c r="E567" s="9" t="str">
        <f t="shared" si="89"/>
        <v>男</v>
      </c>
      <c r="F567" s="9" t="str">
        <f>"63992024042016024852944"</f>
        <v>63992024042016024852944</v>
      </c>
      <c r="G567" s="9" t="str">
        <f t="shared" si="90"/>
        <v>0208</v>
      </c>
      <c r="H567" s="9" t="s">
        <v>12</v>
      </c>
      <c r="I567" s="12"/>
    </row>
    <row r="568" spans="1:9" ht="30" customHeight="1">
      <c r="A568" s="8">
        <v>566</v>
      </c>
      <c r="B568" s="9" t="s">
        <v>24</v>
      </c>
      <c r="C568" s="9" t="s">
        <v>26</v>
      </c>
      <c r="D568" s="9" t="str">
        <f>"符思颖"</f>
        <v>符思颖</v>
      </c>
      <c r="E568" s="9" t="str">
        <f aca="true" t="shared" si="91" ref="E568:E573">"女"</f>
        <v>女</v>
      </c>
      <c r="F568" s="9" t="str">
        <f>"63992024042016441153005"</f>
        <v>63992024042016441153005</v>
      </c>
      <c r="G568" s="9" t="str">
        <f t="shared" si="90"/>
        <v>0208</v>
      </c>
      <c r="H568" s="9" t="s">
        <v>12</v>
      </c>
      <c r="I568" s="12"/>
    </row>
    <row r="569" spans="1:9" ht="30" customHeight="1">
      <c r="A569" s="8">
        <v>567</v>
      </c>
      <c r="B569" s="9" t="s">
        <v>24</v>
      </c>
      <c r="C569" s="9" t="s">
        <v>26</v>
      </c>
      <c r="D569" s="9" t="str">
        <f>"张川"</f>
        <v>张川</v>
      </c>
      <c r="E569" s="9" t="str">
        <f t="shared" si="89"/>
        <v>男</v>
      </c>
      <c r="F569" s="9" t="str">
        <f>"63992024042101393156782"</f>
        <v>63992024042101393156782</v>
      </c>
      <c r="G569" s="9" t="str">
        <f t="shared" si="90"/>
        <v>0208</v>
      </c>
      <c r="H569" s="9" t="s">
        <v>12</v>
      </c>
      <c r="I569" s="12"/>
    </row>
    <row r="570" spans="1:9" ht="30" customHeight="1">
      <c r="A570" s="8">
        <v>568</v>
      </c>
      <c r="B570" s="9" t="s">
        <v>24</v>
      </c>
      <c r="C570" s="9" t="s">
        <v>26</v>
      </c>
      <c r="D570" s="9" t="str">
        <f>"林朝蝶"</f>
        <v>林朝蝶</v>
      </c>
      <c r="E570" s="9" t="str">
        <f t="shared" si="91"/>
        <v>女</v>
      </c>
      <c r="F570" s="9" t="str">
        <f>"63992024042108181556823"</f>
        <v>63992024042108181556823</v>
      </c>
      <c r="G570" s="9" t="str">
        <f t="shared" si="90"/>
        <v>0208</v>
      </c>
      <c r="H570" s="9" t="s">
        <v>12</v>
      </c>
      <c r="I570" s="12"/>
    </row>
    <row r="571" spans="1:9" ht="30" customHeight="1">
      <c r="A571" s="8">
        <v>569</v>
      </c>
      <c r="B571" s="9" t="s">
        <v>24</v>
      </c>
      <c r="C571" s="9" t="s">
        <v>26</v>
      </c>
      <c r="D571" s="9" t="str">
        <f>"李小艳"</f>
        <v>李小艳</v>
      </c>
      <c r="E571" s="9" t="str">
        <f t="shared" si="91"/>
        <v>女</v>
      </c>
      <c r="F571" s="9" t="str">
        <f>"63992024042120062757822"</f>
        <v>63992024042120062757822</v>
      </c>
      <c r="G571" s="9" t="str">
        <f t="shared" si="90"/>
        <v>0208</v>
      </c>
      <c r="H571" s="9" t="s">
        <v>12</v>
      </c>
      <c r="I571" s="12"/>
    </row>
    <row r="572" spans="1:9" ht="30" customHeight="1">
      <c r="A572" s="8">
        <v>570</v>
      </c>
      <c r="B572" s="9" t="s">
        <v>24</v>
      </c>
      <c r="C572" s="9" t="s">
        <v>26</v>
      </c>
      <c r="D572" s="9" t="str">
        <f>"王惠子"</f>
        <v>王惠子</v>
      </c>
      <c r="E572" s="9" t="str">
        <f t="shared" si="91"/>
        <v>女</v>
      </c>
      <c r="F572" s="9" t="str">
        <f>"63992024042123323958074"</f>
        <v>63992024042123323958074</v>
      </c>
      <c r="G572" s="9" t="str">
        <f t="shared" si="90"/>
        <v>0208</v>
      </c>
      <c r="H572" s="9" t="s">
        <v>12</v>
      </c>
      <c r="I572" s="12"/>
    </row>
    <row r="573" spans="1:9" ht="30" customHeight="1">
      <c r="A573" s="8">
        <v>571</v>
      </c>
      <c r="B573" s="9" t="s">
        <v>24</v>
      </c>
      <c r="C573" s="9" t="s">
        <v>26</v>
      </c>
      <c r="D573" s="9" t="str">
        <f>"陈丽帆"</f>
        <v>陈丽帆</v>
      </c>
      <c r="E573" s="9" t="str">
        <f t="shared" si="91"/>
        <v>女</v>
      </c>
      <c r="F573" s="9" t="str">
        <f>"63992024042208114158235"</f>
        <v>63992024042208114158235</v>
      </c>
      <c r="G573" s="9" t="str">
        <f t="shared" si="90"/>
        <v>0208</v>
      </c>
      <c r="H573" s="9" t="s">
        <v>12</v>
      </c>
      <c r="I573" s="12"/>
    </row>
    <row r="574" spans="1:9" ht="30" customHeight="1">
      <c r="A574" s="8">
        <v>572</v>
      </c>
      <c r="B574" s="9" t="s">
        <v>24</v>
      </c>
      <c r="C574" s="9" t="s">
        <v>26</v>
      </c>
      <c r="D574" s="9" t="str">
        <f>"吴培雅"</f>
        <v>吴培雅</v>
      </c>
      <c r="E574" s="9" t="str">
        <f aca="true" t="shared" si="92" ref="E574:E578">"男"</f>
        <v>男</v>
      </c>
      <c r="F574" s="9" t="str">
        <f>"63992024042210142559905"</f>
        <v>63992024042210142559905</v>
      </c>
      <c r="G574" s="9" t="str">
        <f t="shared" si="90"/>
        <v>0208</v>
      </c>
      <c r="H574" s="9" t="s">
        <v>12</v>
      </c>
      <c r="I574" s="12"/>
    </row>
    <row r="575" spans="1:9" ht="30" customHeight="1">
      <c r="A575" s="8">
        <v>573</v>
      </c>
      <c r="B575" s="9" t="s">
        <v>24</v>
      </c>
      <c r="C575" s="9" t="s">
        <v>26</v>
      </c>
      <c r="D575" s="9" t="str">
        <f>"符慧倩"</f>
        <v>符慧倩</v>
      </c>
      <c r="E575" s="9" t="str">
        <f aca="true" t="shared" si="93" ref="E575:E585">"女"</f>
        <v>女</v>
      </c>
      <c r="F575" s="9" t="str">
        <f>"63992024042210535560389"</f>
        <v>63992024042210535560389</v>
      </c>
      <c r="G575" s="9" t="str">
        <f t="shared" si="90"/>
        <v>0208</v>
      </c>
      <c r="H575" s="9" t="s">
        <v>12</v>
      </c>
      <c r="I575" s="12"/>
    </row>
    <row r="576" spans="1:9" ht="30" customHeight="1">
      <c r="A576" s="8">
        <v>574</v>
      </c>
      <c r="B576" s="9" t="s">
        <v>24</v>
      </c>
      <c r="C576" s="9" t="s">
        <v>26</v>
      </c>
      <c r="D576" s="9" t="str">
        <f>"王剑"</f>
        <v>王剑</v>
      </c>
      <c r="E576" s="9" t="str">
        <f t="shared" si="92"/>
        <v>男</v>
      </c>
      <c r="F576" s="9" t="str">
        <f>"63992024042212341361305"</f>
        <v>63992024042212341361305</v>
      </c>
      <c r="G576" s="9" t="str">
        <f t="shared" si="90"/>
        <v>0208</v>
      </c>
      <c r="H576" s="9" t="s">
        <v>12</v>
      </c>
      <c r="I576" s="12"/>
    </row>
    <row r="577" spans="1:9" ht="30" customHeight="1">
      <c r="A577" s="8">
        <v>575</v>
      </c>
      <c r="B577" s="9" t="s">
        <v>24</v>
      </c>
      <c r="C577" s="9" t="s">
        <v>26</v>
      </c>
      <c r="D577" s="9" t="str">
        <f>"黄青平"</f>
        <v>黄青平</v>
      </c>
      <c r="E577" s="9" t="str">
        <f t="shared" si="92"/>
        <v>男</v>
      </c>
      <c r="F577" s="9" t="str">
        <f>"63992024042214354462004"</f>
        <v>63992024042214354462004</v>
      </c>
      <c r="G577" s="9" t="str">
        <f t="shared" si="90"/>
        <v>0208</v>
      </c>
      <c r="H577" s="9" t="s">
        <v>12</v>
      </c>
      <c r="I577" s="12"/>
    </row>
    <row r="578" spans="1:9" ht="30" customHeight="1">
      <c r="A578" s="8">
        <v>576</v>
      </c>
      <c r="B578" s="9" t="s">
        <v>24</v>
      </c>
      <c r="C578" s="9" t="s">
        <v>26</v>
      </c>
      <c r="D578" s="9" t="str">
        <f>"黄炳杰"</f>
        <v>黄炳杰</v>
      </c>
      <c r="E578" s="9" t="str">
        <f t="shared" si="92"/>
        <v>男</v>
      </c>
      <c r="F578" s="9" t="str">
        <f>"63992024042310152970583"</f>
        <v>63992024042310152970583</v>
      </c>
      <c r="G578" s="9" t="str">
        <f t="shared" si="90"/>
        <v>0208</v>
      </c>
      <c r="H578" s="9" t="s">
        <v>12</v>
      </c>
      <c r="I578" s="12"/>
    </row>
    <row r="579" spans="1:9" ht="30" customHeight="1">
      <c r="A579" s="8">
        <v>577</v>
      </c>
      <c r="B579" s="9" t="s">
        <v>24</v>
      </c>
      <c r="C579" s="9" t="s">
        <v>26</v>
      </c>
      <c r="D579" s="9" t="str">
        <f>"黎清"</f>
        <v>黎清</v>
      </c>
      <c r="E579" s="9" t="str">
        <f t="shared" si="93"/>
        <v>女</v>
      </c>
      <c r="F579" s="9" t="str">
        <f>"63992024042311311672323"</f>
        <v>63992024042311311672323</v>
      </c>
      <c r="G579" s="9" t="str">
        <f t="shared" si="90"/>
        <v>0208</v>
      </c>
      <c r="H579" s="9" t="s">
        <v>12</v>
      </c>
      <c r="I579" s="12"/>
    </row>
    <row r="580" spans="1:9" ht="30" customHeight="1">
      <c r="A580" s="8">
        <v>578</v>
      </c>
      <c r="B580" s="9" t="s">
        <v>24</v>
      </c>
      <c r="C580" s="9" t="s">
        <v>26</v>
      </c>
      <c r="D580" s="9" t="str">
        <f>"郑金"</f>
        <v>郑金</v>
      </c>
      <c r="E580" s="9" t="str">
        <f t="shared" si="93"/>
        <v>女</v>
      </c>
      <c r="F580" s="9" t="str">
        <f>"63992024042316183075580"</f>
        <v>63992024042316183075580</v>
      </c>
      <c r="G580" s="9" t="str">
        <f t="shared" si="90"/>
        <v>0208</v>
      </c>
      <c r="H580" s="9" t="s">
        <v>12</v>
      </c>
      <c r="I580" s="12"/>
    </row>
    <row r="581" spans="1:9" ht="30" customHeight="1">
      <c r="A581" s="8">
        <v>579</v>
      </c>
      <c r="B581" s="9" t="s">
        <v>24</v>
      </c>
      <c r="C581" s="9" t="s">
        <v>26</v>
      </c>
      <c r="D581" s="9" t="str">
        <f>"庞悦滢"</f>
        <v>庞悦滢</v>
      </c>
      <c r="E581" s="9" t="str">
        <f t="shared" si="93"/>
        <v>女</v>
      </c>
      <c r="F581" s="9" t="str">
        <f>"63992024042322233279608"</f>
        <v>63992024042322233279608</v>
      </c>
      <c r="G581" s="9" t="str">
        <f t="shared" si="90"/>
        <v>0208</v>
      </c>
      <c r="H581" s="9" t="s">
        <v>12</v>
      </c>
      <c r="I581" s="12"/>
    </row>
    <row r="582" spans="1:9" ht="30" customHeight="1">
      <c r="A582" s="8">
        <v>580</v>
      </c>
      <c r="B582" s="9" t="s">
        <v>24</v>
      </c>
      <c r="C582" s="9" t="s">
        <v>26</v>
      </c>
      <c r="D582" s="9" t="str">
        <f>"黎惠娴"</f>
        <v>黎惠娴</v>
      </c>
      <c r="E582" s="9" t="str">
        <f t="shared" si="93"/>
        <v>女</v>
      </c>
      <c r="F582" s="9" t="str">
        <f>"63992024042419494992253"</f>
        <v>63992024042419494992253</v>
      </c>
      <c r="G582" s="9" t="str">
        <f t="shared" si="90"/>
        <v>0208</v>
      </c>
      <c r="H582" s="9" t="s">
        <v>12</v>
      </c>
      <c r="I582" s="12"/>
    </row>
    <row r="583" spans="1:9" ht="30" customHeight="1">
      <c r="A583" s="8">
        <v>581</v>
      </c>
      <c r="B583" s="9" t="s">
        <v>24</v>
      </c>
      <c r="C583" s="9" t="s">
        <v>26</v>
      </c>
      <c r="D583" s="9" t="str">
        <f>"王丹妮"</f>
        <v>王丹妮</v>
      </c>
      <c r="E583" s="9" t="str">
        <f t="shared" si="93"/>
        <v>女</v>
      </c>
      <c r="F583" s="9" t="str">
        <f>"63992024042512401095454"</f>
        <v>63992024042512401095454</v>
      </c>
      <c r="G583" s="9" t="str">
        <f t="shared" si="90"/>
        <v>0208</v>
      </c>
      <c r="H583" s="9" t="s">
        <v>12</v>
      </c>
      <c r="I583" s="12"/>
    </row>
    <row r="584" spans="1:9" ht="30" customHeight="1">
      <c r="A584" s="8">
        <v>582</v>
      </c>
      <c r="B584" s="9" t="s">
        <v>24</v>
      </c>
      <c r="C584" s="9" t="s">
        <v>26</v>
      </c>
      <c r="D584" s="9" t="str">
        <f>"蔡丹"</f>
        <v>蔡丹</v>
      </c>
      <c r="E584" s="9" t="str">
        <f t="shared" si="93"/>
        <v>女</v>
      </c>
      <c r="F584" s="9" t="str">
        <f>"63992024042516241297057"</f>
        <v>63992024042516241297057</v>
      </c>
      <c r="G584" s="9" t="str">
        <f t="shared" si="90"/>
        <v>0208</v>
      </c>
      <c r="H584" s="9" t="s">
        <v>12</v>
      </c>
      <c r="I584" s="12"/>
    </row>
    <row r="585" spans="1:9" ht="30" customHeight="1">
      <c r="A585" s="8">
        <v>583</v>
      </c>
      <c r="B585" s="9" t="s">
        <v>24</v>
      </c>
      <c r="C585" s="9" t="s">
        <v>26</v>
      </c>
      <c r="D585" s="9" t="str">
        <f>"陈俊蓉"</f>
        <v>陈俊蓉</v>
      </c>
      <c r="E585" s="9" t="str">
        <f t="shared" si="93"/>
        <v>女</v>
      </c>
      <c r="F585" s="9" t="str">
        <f>"63992024042521383198015"</f>
        <v>63992024042521383198015</v>
      </c>
      <c r="G585" s="9" t="str">
        <f t="shared" si="90"/>
        <v>0208</v>
      </c>
      <c r="H585" s="9" t="s">
        <v>12</v>
      </c>
      <c r="I585" s="12"/>
    </row>
    <row r="586" spans="1:9" ht="30" customHeight="1">
      <c r="A586" s="8">
        <v>584</v>
      </c>
      <c r="B586" s="9" t="s">
        <v>24</v>
      </c>
      <c r="C586" s="9" t="s">
        <v>26</v>
      </c>
      <c r="D586" s="9" t="str">
        <f>"黎圣奇"</f>
        <v>黎圣奇</v>
      </c>
      <c r="E586" s="9" t="str">
        <f>"男"</f>
        <v>男</v>
      </c>
      <c r="F586" s="9" t="str">
        <f>"63992024042414510189247"</f>
        <v>63992024042414510189247</v>
      </c>
      <c r="G586" s="9" t="str">
        <f t="shared" si="90"/>
        <v>0208</v>
      </c>
      <c r="H586" s="9" t="s">
        <v>12</v>
      </c>
      <c r="I586" s="12"/>
    </row>
    <row r="587" spans="1:9" ht="30" customHeight="1">
      <c r="A587" s="8">
        <v>585</v>
      </c>
      <c r="B587" s="9" t="s">
        <v>24</v>
      </c>
      <c r="C587" s="9" t="s">
        <v>26</v>
      </c>
      <c r="D587" s="9" t="str">
        <f>"林燕琼"</f>
        <v>林燕琼</v>
      </c>
      <c r="E587" s="9" t="str">
        <f aca="true" t="shared" si="94" ref="E587:E590">"女"</f>
        <v>女</v>
      </c>
      <c r="F587" s="9" t="str">
        <f>"639920240428193717116806"</f>
        <v>639920240428193717116806</v>
      </c>
      <c r="G587" s="9" t="str">
        <f t="shared" si="90"/>
        <v>0208</v>
      </c>
      <c r="H587" s="9" t="s">
        <v>12</v>
      </c>
      <c r="I587" s="12"/>
    </row>
    <row r="588" spans="1:9" ht="39.75" customHeight="1">
      <c r="A588" s="8">
        <v>586</v>
      </c>
      <c r="B588" s="9" t="s">
        <v>24</v>
      </c>
      <c r="C588" s="9" t="s">
        <v>26</v>
      </c>
      <c r="D588" s="9" t="str">
        <f>"刘英楠"</f>
        <v>刘英楠</v>
      </c>
      <c r="E588" s="9" t="str">
        <f t="shared" si="94"/>
        <v>女</v>
      </c>
      <c r="F588" s="9" t="str">
        <f>"639920240428222352117208"</f>
        <v>639920240428222352117208</v>
      </c>
      <c r="G588" s="9" t="str">
        <f t="shared" si="90"/>
        <v>0208</v>
      </c>
      <c r="H588" s="10" t="s">
        <v>15</v>
      </c>
      <c r="I588" s="12"/>
    </row>
    <row r="589" spans="1:9" ht="30" customHeight="1">
      <c r="A589" s="8">
        <v>587</v>
      </c>
      <c r="B589" s="9" t="s">
        <v>24</v>
      </c>
      <c r="C589" s="9" t="s">
        <v>26</v>
      </c>
      <c r="D589" s="9" t="str">
        <f>"吴慧敏"</f>
        <v>吴慧敏</v>
      </c>
      <c r="E589" s="9" t="str">
        <f t="shared" si="94"/>
        <v>女</v>
      </c>
      <c r="F589" s="9" t="str">
        <f>"639920240428225614117268"</f>
        <v>639920240428225614117268</v>
      </c>
      <c r="G589" s="9" t="str">
        <f t="shared" si="90"/>
        <v>0208</v>
      </c>
      <c r="H589" s="9" t="s">
        <v>12</v>
      </c>
      <c r="I589" s="12"/>
    </row>
    <row r="590" spans="1:9" ht="30" customHeight="1">
      <c r="A590" s="8">
        <v>588</v>
      </c>
      <c r="B590" s="9" t="s">
        <v>24</v>
      </c>
      <c r="C590" s="9" t="s">
        <v>26</v>
      </c>
      <c r="D590" s="9" t="str">
        <f>"陈名丽"</f>
        <v>陈名丽</v>
      </c>
      <c r="E590" s="9" t="str">
        <f t="shared" si="94"/>
        <v>女</v>
      </c>
      <c r="F590" s="9" t="str">
        <f>"639920240428104033114983"</f>
        <v>639920240428104033114983</v>
      </c>
      <c r="G590" s="9" t="str">
        <f t="shared" si="90"/>
        <v>0208</v>
      </c>
      <c r="H590" s="9" t="s">
        <v>12</v>
      </c>
      <c r="I590" s="12"/>
    </row>
    <row r="591" spans="1:9" ht="30" customHeight="1">
      <c r="A591" s="8">
        <v>589</v>
      </c>
      <c r="B591" s="9" t="s">
        <v>24</v>
      </c>
      <c r="C591" s="9" t="s">
        <v>27</v>
      </c>
      <c r="D591" s="9" t="str">
        <f>"黄恒健"</f>
        <v>黄恒健</v>
      </c>
      <c r="E591" s="9" t="str">
        <f>"男"</f>
        <v>男</v>
      </c>
      <c r="F591" s="9" t="str">
        <f>"63992024042116144757539"</f>
        <v>63992024042116144757539</v>
      </c>
      <c r="G591" s="9" t="str">
        <f aca="true" t="shared" si="95" ref="G591:G599">"0209"</f>
        <v>0209</v>
      </c>
      <c r="H591" s="9" t="s">
        <v>12</v>
      </c>
      <c r="I591" s="12"/>
    </row>
    <row r="592" spans="1:9" ht="30" customHeight="1">
      <c r="A592" s="8">
        <v>590</v>
      </c>
      <c r="B592" s="9" t="s">
        <v>24</v>
      </c>
      <c r="C592" s="9" t="s">
        <v>27</v>
      </c>
      <c r="D592" s="9" t="str">
        <f>"罗维潇"</f>
        <v>罗维潇</v>
      </c>
      <c r="E592" s="9" t="str">
        <f aca="true" t="shared" si="96" ref="E592:E596">"女"</f>
        <v>女</v>
      </c>
      <c r="F592" s="9" t="str">
        <f>"63992024042118374057725"</f>
        <v>63992024042118374057725</v>
      </c>
      <c r="G592" s="9" t="str">
        <f t="shared" si="95"/>
        <v>0209</v>
      </c>
      <c r="H592" s="9" t="s">
        <v>12</v>
      </c>
      <c r="I592" s="12"/>
    </row>
    <row r="593" spans="1:9" ht="30" customHeight="1">
      <c r="A593" s="8">
        <v>591</v>
      </c>
      <c r="B593" s="9" t="s">
        <v>24</v>
      </c>
      <c r="C593" s="9" t="s">
        <v>27</v>
      </c>
      <c r="D593" s="9" t="str">
        <f>"朱晶晶"</f>
        <v>朱晶晶</v>
      </c>
      <c r="E593" s="9" t="str">
        <f t="shared" si="96"/>
        <v>女</v>
      </c>
      <c r="F593" s="9" t="str">
        <f>"639920240426222807111630"</f>
        <v>639920240426222807111630</v>
      </c>
      <c r="G593" s="9" t="str">
        <f t="shared" si="95"/>
        <v>0209</v>
      </c>
      <c r="H593" s="9" t="s">
        <v>12</v>
      </c>
      <c r="I593" s="12"/>
    </row>
    <row r="594" spans="1:9" ht="30" customHeight="1">
      <c r="A594" s="8">
        <v>592</v>
      </c>
      <c r="B594" s="9" t="s">
        <v>24</v>
      </c>
      <c r="C594" s="9" t="s">
        <v>27</v>
      </c>
      <c r="D594" s="9" t="str">
        <f>"王小清"</f>
        <v>王小清</v>
      </c>
      <c r="E594" s="9" t="str">
        <f aca="true" t="shared" si="97" ref="E594:E598">"男"</f>
        <v>男</v>
      </c>
      <c r="F594" s="9" t="str">
        <f>"639920240429084226117498"</f>
        <v>639920240429084226117498</v>
      </c>
      <c r="G594" s="9" t="str">
        <f t="shared" si="95"/>
        <v>0209</v>
      </c>
      <c r="H594" s="9" t="s">
        <v>12</v>
      </c>
      <c r="I594" s="12"/>
    </row>
    <row r="595" spans="1:9" ht="30" customHeight="1">
      <c r="A595" s="8">
        <v>593</v>
      </c>
      <c r="B595" s="9" t="s">
        <v>24</v>
      </c>
      <c r="C595" s="9" t="s">
        <v>27</v>
      </c>
      <c r="D595" s="9" t="str">
        <f>"蔡静"</f>
        <v>蔡静</v>
      </c>
      <c r="E595" s="9" t="str">
        <f t="shared" si="96"/>
        <v>女</v>
      </c>
      <c r="F595" s="9" t="str">
        <f>"639920240429122945118681"</f>
        <v>639920240429122945118681</v>
      </c>
      <c r="G595" s="9" t="str">
        <f t="shared" si="95"/>
        <v>0209</v>
      </c>
      <c r="H595" s="9" t="s">
        <v>12</v>
      </c>
      <c r="I595" s="12"/>
    </row>
    <row r="596" spans="1:9" ht="30" customHeight="1">
      <c r="A596" s="8">
        <v>594</v>
      </c>
      <c r="B596" s="9" t="s">
        <v>24</v>
      </c>
      <c r="C596" s="9" t="s">
        <v>27</v>
      </c>
      <c r="D596" s="9" t="str">
        <f>"李冰莹"</f>
        <v>李冰莹</v>
      </c>
      <c r="E596" s="9" t="str">
        <f t="shared" si="96"/>
        <v>女</v>
      </c>
      <c r="F596" s="9" t="str">
        <f>"63992024041917323551558"</f>
        <v>63992024041917323551558</v>
      </c>
      <c r="G596" s="9" t="str">
        <f t="shared" si="95"/>
        <v>0209</v>
      </c>
      <c r="H596" s="9" t="s">
        <v>12</v>
      </c>
      <c r="I596" s="12"/>
    </row>
    <row r="597" spans="1:9" ht="30" customHeight="1">
      <c r="A597" s="8">
        <v>595</v>
      </c>
      <c r="B597" s="9" t="s">
        <v>24</v>
      </c>
      <c r="C597" s="9" t="s">
        <v>27</v>
      </c>
      <c r="D597" s="9" t="str">
        <f>"潘国彬"</f>
        <v>潘国彬</v>
      </c>
      <c r="E597" s="9" t="str">
        <f t="shared" si="97"/>
        <v>男</v>
      </c>
      <c r="F597" s="9" t="str">
        <f>"639920240429160003119530"</f>
        <v>639920240429160003119530</v>
      </c>
      <c r="G597" s="9" t="str">
        <f t="shared" si="95"/>
        <v>0209</v>
      </c>
      <c r="H597" s="9" t="s">
        <v>12</v>
      </c>
      <c r="I597" s="12"/>
    </row>
    <row r="598" spans="1:9" ht="30" customHeight="1">
      <c r="A598" s="8">
        <v>596</v>
      </c>
      <c r="B598" s="9" t="s">
        <v>24</v>
      </c>
      <c r="C598" s="9" t="s">
        <v>27</v>
      </c>
      <c r="D598" s="9" t="str">
        <f>"卢炳胜"</f>
        <v>卢炳胜</v>
      </c>
      <c r="E598" s="9" t="str">
        <f t="shared" si="97"/>
        <v>男</v>
      </c>
      <c r="F598" s="9" t="str">
        <f>"639920240429160636119560"</f>
        <v>639920240429160636119560</v>
      </c>
      <c r="G598" s="9" t="str">
        <f t="shared" si="95"/>
        <v>0209</v>
      </c>
      <c r="H598" s="9" t="s">
        <v>12</v>
      </c>
      <c r="I598" s="12"/>
    </row>
    <row r="599" spans="1:9" ht="30" customHeight="1">
      <c r="A599" s="8">
        <v>597</v>
      </c>
      <c r="B599" s="9" t="s">
        <v>24</v>
      </c>
      <c r="C599" s="9" t="s">
        <v>27</v>
      </c>
      <c r="D599" s="9" t="str">
        <f>"林菲"</f>
        <v>林菲</v>
      </c>
      <c r="E599" s="9" t="str">
        <f aca="true" t="shared" si="98" ref="E599:E602">"女"</f>
        <v>女</v>
      </c>
      <c r="F599" s="9" t="str">
        <f>"639920240429161010119571"</f>
        <v>639920240429161010119571</v>
      </c>
      <c r="G599" s="9" t="str">
        <f t="shared" si="95"/>
        <v>0209</v>
      </c>
      <c r="H599" s="9" t="s">
        <v>12</v>
      </c>
      <c r="I599" s="12"/>
    </row>
    <row r="600" spans="1:9" ht="30" customHeight="1">
      <c r="A600" s="8">
        <v>598</v>
      </c>
      <c r="B600" s="9" t="s">
        <v>24</v>
      </c>
      <c r="C600" s="9" t="s">
        <v>22</v>
      </c>
      <c r="D600" s="9" t="str">
        <f>"李雪"</f>
        <v>李雪</v>
      </c>
      <c r="E600" s="9" t="str">
        <f t="shared" si="98"/>
        <v>女</v>
      </c>
      <c r="F600" s="9" t="str">
        <f>"63992024041919090951741"</f>
        <v>63992024041919090951741</v>
      </c>
      <c r="G600" s="9" t="str">
        <f aca="true" t="shared" si="99" ref="G600:G627">"0210"</f>
        <v>0210</v>
      </c>
      <c r="H600" s="9" t="s">
        <v>12</v>
      </c>
      <c r="I600" s="12"/>
    </row>
    <row r="601" spans="1:9" ht="30" customHeight="1">
      <c r="A601" s="8">
        <v>599</v>
      </c>
      <c r="B601" s="9" t="s">
        <v>24</v>
      </c>
      <c r="C601" s="9" t="s">
        <v>22</v>
      </c>
      <c r="D601" s="9" t="str">
        <f>"陈丽芽"</f>
        <v>陈丽芽</v>
      </c>
      <c r="E601" s="9" t="str">
        <f t="shared" si="98"/>
        <v>女</v>
      </c>
      <c r="F601" s="9" t="str">
        <f>"63992024041918262351672"</f>
        <v>63992024041918262351672</v>
      </c>
      <c r="G601" s="9" t="str">
        <f t="shared" si="99"/>
        <v>0210</v>
      </c>
      <c r="H601" s="9" t="s">
        <v>12</v>
      </c>
      <c r="I601" s="12"/>
    </row>
    <row r="602" spans="1:9" ht="30" customHeight="1">
      <c r="A602" s="8">
        <v>600</v>
      </c>
      <c r="B602" s="9" t="s">
        <v>24</v>
      </c>
      <c r="C602" s="9" t="s">
        <v>22</v>
      </c>
      <c r="D602" s="9" t="str">
        <f>"吴丹玭"</f>
        <v>吴丹玭</v>
      </c>
      <c r="E602" s="9" t="str">
        <f t="shared" si="98"/>
        <v>女</v>
      </c>
      <c r="F602" s="9" t="str">
        <f>"63992024041922203852104"</f>
        <v>63992024041922203852104</v>
      </c>
      <c r="G602" s="9" t="str">
        <f t="shared" si="99"/>
        <v>0210</v>
      </c>
      <c r="H602" s="9" t="s">
        <v>12</v>
      </c>
      <c r="I602" s="12"/>
    </row>
    <row r="603" spans="1:9" ht="30" customHeight="1">
      <c r="A603" s="8">
        <v>601</v>
      </c>
      <c r="B603" s="9" t="s">
        <v>24</v>
      </c>
      <c r="C603" s="9" t="s">
        <v>22</v>
      </c>
      <c r="D603" s="9" t="str">
        <f>"王文"</f>
        <v>王文</v>
      </c>
      <c r="E603" s="9" t="str">
        <f>"男"</f>
        <v>男</v>
      </c>
      <c r="F603" s="9" t="str">
        <f>"63992024042014421152809"</f>
        <v>63992024042014421152809</v>
      </c>
      <c r="G603" s="9" t="str">
        <f t="shared" si="99"/>
        <v>0210</v>
      </c>
      <c r="H603" s="9" t="s">
        <v>12</v>
      </c>
      <c r="I603" s="12"/>
    </row>
    <row r="604" spans="1:9" ht="30" customHeight="1">
      <c r="A604" s="8">
        <v>602</v>
      </c>
      <c r="B604" s="9" t="s">
        <v>24</v>
      </c>
      <c r="C604" s="9" t="s">
        <v>22</v>
      </c>
      <c r="D604" s="9" t="str">
        <f>"姜梦蝶"</f>
        <v>姜梦蝶</v>
      </c>
      <c r="E604" s="9" t="str">
        <f aca="true" t="shared" si="100" ref="E604:E608">"女"</f>
        <v>女</v>
      </c>
      <c r="F604" s="9" t="str">
        <f>"63992024042111515957125"</f>
        <v>63992024042111515957125</v>
      </c>
      <c r="G604" s="9" t="str">
        <f t="shared" si="99"/>
        <v>0210</v>
      </c>
      <c r="H604" s="9" t="s">
        <v>12</v>
      </c>
      <c r="I604" s="12"/>
    </row>
    <row r="605" spans="1:9" ht="30" customHeight="1">
      <c r="A605" s="8">
        <v>603</v>
      </c>
      <c r="B605" s="9" t="s">
        <v>24</v>
      </c>
      <c r="C605" s="9" t="s">
        <v>22</v>
      </c>
      <c r="D605" s="9" t="str">
        <f>"温薇"</f>
        <v>温薇</v>
      </c>
      <c r="E605" s="9" t="str">
        <f t="shared" si="100"/>
        <v>女</v>
      </c>
      <c r="F605" s="9" t="str">
        <f>"63992024042121065657894"</f>
        <v>63992024042121065657894</v>
      </c>
      <c r="G605" s="9" t="str">
        <f t="shared" si="99"/>
        <v>0210</v>
      </c>
      <c r="H605" s="9" t="s">
        <v>12</v>
      </c>
      <c r="I605" s="12"/>
    </row>
    <row r="606" spans="1:9" ht="30" customHeight="1">
      <c r="A606" s="8">
        <v>604</v>
      </c>
      <c r="B606" s="9" t="s">
        <v>24</v>
      </c>
      <c r="C606" s="9" t="s">
        <v>22</v>
      </c>
      <c r="D606" s="9" t="str">
        <f>"李泰羽"</f>
        <v>李泰羽</v>
      </c>
      <c r="E606" s="9" t="str">
        <f>"男"</f>
        <v>男</v>
      </c>
      <c r="F606" s="9" t="str">
        <f>"63992024042208534958638"</f>
        <v>63992024042208534958638</v>
      </c>
      <c r="G606" s="9" t="str">
        <f t="shared" si="99"/>
        <v>0210</v>
      </c>
      <c r="H606" s="9" t="s">
        <v>12</v>
      </c>
      <c r="I606" s="12"/>
    </row>
    <row r="607" spans="1:9" ht="30" customHeight="1">
      <c r="A607" s="8">
        <v>605</v>
      </c>
      <c r="B607" s="9" t="s">
        <v>24</v>
      </c>
      <c r="C607" s="9" t="s">
        <v>22</v>
      </c>
      <c r="D607" s="9" t="str">
        <f>"黄丹"</f>
        <v>黄丹</v>
      </c>
      <c r="E607" s="9" t="str">
        <f t="shared" si="100"/>
        <v>女</v>
      </c>
      <c r="F607" s="9" t="str">
        <f>"63992024042209484159569"</f>
        <v>63992024042209484159569</v>
      </c>
      <c r="G607" s="9" t="str">
        <f t="shared" si="99"/>
        <v>0210</v>
      </c>
      <c r="H607" s="9" t="s">
        <v>12</v>
      </c>
      <c r="I607" s="12"/>
    </row>
    <row r="608" spans="1:9" ht="30" customHeight="1">
      <c r="A608" s="8">
        <v>606</v>
      </c>
      <c r="B608" s="9" t="s">
        <v>24</v>
      </c>
      <c r="C608" s="9" t="s">
        <v>22</v>
      </c>
      <c r="D608" s="9" t="str">
        <f>"钟琪琪"</f>
        <v>钟琪琪</v>
      </c>
      <c r="E608" s="9" t="str">
        <f t="shared" si="100"/>
        <v>女</v>
      </c>
      <c r="F608" s="9" t="str">
        <f>"63992024042211013760482"</f>
        <v>63992024042211013760482</v>
      </c>
      <c r="G608" s="9" t="str">
        <f t="shared" si="99"/>
        <v>0210</v>
      </c>
      <c r="H608" s="9" t="s">
        <v>12</v>
      </c>
      <c r="I608" s="12"/>
    </row>
    <row r="609" spans="1:9" ht="30" customHeight="1">
      <c r="A609" s="8">
        <v>607</v>
      </c>
      <c r="B609" s="9" t="s">
        <v>24</v>
      </c>
      <c r="C609" s="9" t="s">
        <v>22</v>
      </c>
      <c r="D609" s="9" t="str">
        <f>"卢哨"</f>
        <v>卢哨</v>
      </c>
      <c r="E609" s="9" t="str">
        <f>"男"</f>
        <v>男</v>
      </c>
      <c r="F609" s="9" t="str">
        <f>"63992024042214500862091"</f>
        <v>63992024042214500862091</v>
      </c>
      <c r="G609" s="9" t="str">
        <f t="shared" si="99"/>
        <v>0210</v>
      </c>
      <c r="H609" s="9" t="s">
        <v>12</v>
      </c>
      <c r="I609" s="12"/>
    </row>
    <row r="610" spans="1:9" ht="30" customHeight="1">
      <c r="A610" s="8">
        <v>608</v>
      </c>
      <c r="B610" s="9" t="s">
        <v>24</v>
      </c>
      <c r="C610" s="9" t="s">
        <v>22</v>
      </c>
      <c r="D610" s="9" t="str">
        <f>"宋春娇"</f>
        <v>宋春娇</v>
      </c>
      <c r="E610" s="9" t="str">
        <f aca="true" t="shared" si="101" ref="E610:E619">"女"</f>
        <v>女</v>
      </c>
      <c r="F610" s="9" t="str">
        <f>"63992024042216570466302"</f>
        <v>63992024042216570466302</v>
      </c>
      <c r="G610" s="9" t="str">
        <f t="shared" si="99"/>
        <v>0210</v>
      </c>
      <c r="H610" s="9" t="s">
        <v>12</v>
      </c>
      <c r="I610" s="12"/>
    </row>
    <row r="611" spans="1:9" ht="30" customHeight="1">
      <c r="A611" s="8">
        <v>609</v>
      </c>
      <c r="B611" s="9" t="s">
        <v>24</v>
      </c>
      <c r="C611" s="9" t="s">
        <v>22</v>
      </c>
      <c r="D611" s="9" t="str">
        <f>"李梅妍"</f>
        <v>李梅妍</v>
      </c>
      <c r="E611" s="9" t="str">
        <f t="shared" si="101"/>
        <v>女</v>
      </c>
      <c r="F611" s="9" t="str">
        <f>"63992024042219081067154"</f>
        <v>63992024042219081067154</v>
      </c>
      <c r="G611" s="9" t="str">
        <f t="shared" si="99"/>
        <v>0210</v>
      </c>
      <c r="H611" s="9" t="s">
        <v>12</v>
      </c>
      <c r="I611" s="12"/>
    </row>
    <row r="612" spans="1:9" ht="30" customHeight="1">
      <c r="A612" s="8">
        <v>610</v>
      </c>
      <c r="B612" s="9" t="s">
        <v>24</v>
      </c>
      <c r="C612" s="9" t="s">
        <v>22</v>
      </c>
      <c r="D612" s="9" t="str">
        <f>"胡海娟"</f>
        <v>胡海娟</v>
      </c>
      <c r="E612" s="9" t="str">
        <f t="shared" si="101"/>
        <v>女</v>
      </c>
      <c r="F612" s="9" t="str">
        <f>"63992024042222063768208"</f>
        <v>63992024042222063768208</v>
      </c>
      <c r="G612" s="9" t="str">
        <f t="shared" si="99"/>
        <v>0210</v>
      </c>
      <c r="H612" s="9" t="s">
        <v>12</v>
      </c>
      <c r="I612" s="12"/>
    </row>
    <row r="613" spans="1:9" ht="30" customHeight="1">
      <c r="A613" s="8">
        <v>611</v>
      </c>
      <c r="B613" s="9" t="s">
        <v>24</v>
      </c>
      <c r="C613" s="9" t="s">
        <v>22</v>
      </c>
      <c r="D613" s="9" t="str">
        <f>"唐诗娴"</f>
        <v>唐诗娴</v>
      </c>
      <c r="E613" s="9" t="str">
        <f t="shared" si="101"/>
        <v>女</v>
      </c>
      <c r="F613" s="9" t="str">
        <f>"63992024042311411672721"</f>
        <v>63992024042311411672721</v>
      </c>
      <c r="G613" s="9" t="str">
        <f t="shared" si="99"/>
        <v>0210</v>
      </c>
      <c r="H613" s="9" t="s">
        <v>12</v>
      </c>
      <c r="I613" s="12"/>
    </row>
    <row r="614" spans="1:9" ht="30" customHeight="1">
      <c r="A614" s="8">
        <v>612</v>
      </c>
      <c r="B614" s="9" t="s">
        <v>24</v>
      </c>
      <c r="C614" s="9" t="s">
        <v>22</v>
      </c>
      <c r="D614" s="9" t="str">
        <f>"陈丽珍"</f>
        <v>陈丽珍</v>
      </c>
      <c r="E614" s="9" t="str">
        <f t="shared" si="101"/>
        <v>女</v>
      </c>
      <c r="F614" s="9" t="str">
        <f>"63992024042314444674505"</f>
        <v>63992024042314444674505</v>
      </c>
      <c r="G614" s="9" t="str">
        <f t="shared" si="99"/>
        <v>0210</v>
      </c>
      <c r="H614" s="9" t="s">
        <v>12</v>
      </c>
      <c r="I614" s="12"/>
    </row>
    <row r="615" spans="1:9" ht="30" customHeight="1">
      <c r="A615" s="8">
        <v>613</v>
      </c>
      <c r="B615" s="9" t="s">
        <v>24</v>
      </c>
      <c r="C615" s="9" t="s">
        <v>22</v>
      </c>
      <c r="D615" s="9" t="str">
        <f>"骆媛彩"</f>
        <v>骆媛彩</v>
      </c>
      <c r="E615" s="9" t="str">
        <f t="shared" si="101"/>
        <v>女</v>
      </c>
      <c r="F615" s="9" t="str">
        <f>"63992024042316062175462"</f>
        <v>63992024042316062175462</v>
      </c>
      <c r="G615" s="9" t="str">
        <f t="shared" si="99"/>
        <v>0210</v>
      </c>
      <c r="H615" s="9" t="s">
        <v>12</v>
      </c>
      <c r="I615" s="12"/>
    </row>
    <row r="616" spans="1:9" ht="30" customHeight="1">
      <c r="A616" s="8">
        <v>614</v>
      </c>
      <c r="B616" s="9" t="s">
        <v>24</v>
      </c>
      <c r="C616" s="9" t="s">
        <v>22</v>
      </c>
      <c r="D616" s="9" t="str">
        <f>"徐一萍"</f>
        <v>徐一萍</v>
      </c>
      <c r="E616" s="9" t="str">
        <f t="shared" si="101"/>
        <v>女</v>
      </c>
      <c r="F616" s="9" t="str">
        <f>"63992024042318144377641"</f>
        <v>63992024042318144377641</v>
      </c>
      <c r="G616" s="9" t="str">
        <f t="shared" si="99"/>
        <v>0210</v>
      </c>
      <c r="H616" s="9" t="s">
        <v>12</v>
      </c>
      <c r="I616" s="12"/>
    </row>
    <row r="617" spans="1:9" ht="30" customHeight="1">
      <c r="A617" s="8">
        <v>615</v>
      </c>
      <c r="B617" s="9" t="s">
        <v>24</v>
      </c>
      <c r="C617" s="9" t="s">
        <v>22</v>
      </c>
      <c r="D617" s="9" t="str">
        <f>"李雅君"</f>
        <v>李雅君</v>
      </c>
      <c r="E617" s="9" t="str">
        <f t="shared" si="101"/>
        <v>女</v>
      </c>
      <c r="F617" s="9" t="str">
        <f>"63992024042320341478651"</f>
        <v>63992024042320341478651</v>
      </c>
      <c r="G617" s="9" t="str">
        <f t="shared" si="99"/>
        <v>0210</v>
      </c>
      <c r="H617" s="9" t="s">
        <v>12</v>
      </c>
      <c r="I617" s="12"/>
    </row>
    <row r="618" spans="1:9" ht="30" customHeight="1">
      <c r="A618" s="8">
        <v>616</v>
      </c>
      <c r="B618" s="9" t="s">
        <v>24</v>
      </c>
      <c r="C618" s="9" t="s">
        <v>22</v>
      </c>
      <c r="D618" s="9" t="str">
        <f>"符婷婷"</f>
        <v>符婷婷</v>
      </c>
      <c r="E618" s="9" t="str">
        <f t="shared" si="101"/>
        <v>女</v>
      </c>
      <c r="F618" s="9" t="str">
        <f>"63992024042322213579588"</f>
        <v>63992024042322213579588</v>
      </c>
      <c r="G618" s="9" t="str">
        <f t="shared" si="99"/>
        <v>0210</v>
      </c>
      <c r="H618" s="9" t="s">
        <v>12</v>
      </c>
      <c r="I618" s="12"/>
    </row>
    <row r="619" spans="1:9" ht="30" customHeight="1">
      <c r="A619" s="8">
        <v>617</v>
      </c>
      <c r="B619" s="9" t="s">
        <v>24</v>
      </c>
      <c r="C619" s="9" t="s">
        <v>22</v>
      </c>
      <c r="D619" s="9" t="str">
        <f>"吴春燕"</f>
        <v>吴春燕</v>
      </c>
      <c r="E619" s="9" t="str">
        <f t="shared" si="101"/>
        <v>女</v>
      </c>
      <c r="F619" s="9" t="str">
        <f>"63992024042409061282894"</f>
        <v>63992024042409061282894</v>
      </c>
      <c r="G619" s="9" t="str">
        <f t="shared" si="99"/>
        <v>0210</v>
      </c>
      <c r="H619" s="9" t="s">
        <v>12</v>
      </c>
      <c r="I619" s="12"/>
    </row>
    <row r="620" spans="1:9" ht="30" customHeight="1">
      <c r="A620" s="8">
        <v>618</v>
      </c>
      <c r="B620" s="9" t="s">
        <v>24</v>
      </c>
      <c r="C620" s="9" t="s">
        <v>22</v>
      </c>
      <c r="D620" s="9" t="str">
        <f>"赖海"</f>
        <v>赖海</v>
      </c>
      <c r="E620" s="9" t="str">
        <f aca="true" t="shared" si="102" ref="E620:E622">"男"</f>
        <v>男</v>
      </c>
      <c r="F620" s="9" t="str">
        <f>"63992024042510290694473"</f>
        <v>63992024042510290694473</v>
      </c>
      <c r="G620" s="9" t="str">
        <f t="shared" si="99"/>
        <v>0210</v>
      </c>
      <c r="H620" s="9" t="s">
        <v>12</v>
      </c>
      <c r="I620" s="12"/>
    </row>
    <row r="621" spans="1:9" ht="30" customHeight="1">
      <c r="A621" s="8">
        <v>619</v>
      </c>
      <c r="B621" s="9" t="s">
        <v>24</v>
      </c>
      <c r="C621" s="9" t="s">
        <v>22</v>
      </c>
      <c r="D621" s="9" t="str">
        <f>"杨海龙"</f>
        <v>杨海龙</v>
      </c>
      <c r="E621" s="9" t="str">
        <f t="shared" si="102"/>
        <v>男</v>
      </c>
      <c r="F621" s="9" t="str">
        <f>"639920240426114237109957"</f>
        <v>639920240426114237109957</v>
      </c>
      <c r="G621" s="9" t="str">
        <f t="shared" si="99"/>
        <v>0210</v>
      </c>
      <c r="H621" s="9" t="s">
        <v>12</v>
      </c>
      <c r="I621" s="12"/>
    </row>
    <row r="622" spans="1:9" ht="30" customHeight="1">
      <c r="A622" s="8">
        <v>620</v>
      </c>
      <c r="B622" s="9" t="s">
        <v>24</v>
      </c>
      <c r="C622" s="9" t="s">
        <v>22</v>
      </c>
      <c r="D622" s="9" t="str">
        <f>"游子涵"</f>
        <v>游子涵</v>
      </c>
      <c r="E622" s="9" t="str">
        <f t="shared" si="102"/>
        <v>男</v>
      </c>
      <c r="F622" s="9" t="str">
        <f>"639920240426192623111336"</f>
        <v>639920240426192623111336</v>
      </c>
      <c r="G622" s="9" t="str">
        <f t="shared" si="99"/>
        <v>0210</v>
      </c>
      <c r="H622" s="9" t="s">
        <v>12</v>
      </c>
      <c r="I622" s="12"/>
    </row>
    <row r="623" spans="1:9" ht="30" customHeight="1">
      <c r="A623" s="8">
        <v>621</v>
      </c>
      <c r="B623" s="9" t="s">
        <v>24</v>
      </c>
      <c r="C623" s="9" t="s">
        <v>22</v>
      </c>
      <c r="D623" s="9" t="str">
        <f>"顾梦怡"</f>
        <v>顾梦怡</v>
      </c>
      <c r="E623" s="9" t="str">
        <f aca="true" t="shared" si="103" ref="E623:E628">"女"</f>
        <v>女</v>
      </c>
      <c r="F623" s="9" t="str">
        <f>"639920240428033519114087"</f>
        <v>639920240428033519114087</v>
      </c>
      <c r="G623" s="9" t="str">
        <f t="shared" si="99"/>
        <v>0210</v>
      </c>
      <c r="H623" s="9" t="s">
        <v>12</v>
      </c>
      <c r="I623" s="12"/>
    </row>
    <row r="624" spans="1:9" ht="30" customHeight="1">
      <c r="A624" s="8">
        <v>622</v>
      </c>
      <c r="B624" s="9" t="s">
        <v>24</v>
      </c>
      <c r="C624" s="9" t="s">
        <v>22</v>
      </c>
      <c r="D624" s="9" t="str">
        <f>"曾春婉"</f>
        <v>曾春婉</v>
      </c>
      <c r="E624" s="9" t="str">
        <f t="shared" si="103"/>
        <v>女</v>
      </c>
      <c r="F624" s="9" t="str">
        <f>"639920240428163741116328"</f>
        <v>639920240428163741116328</v>
      </c>
      <c r="G624" s="9" t="str">
        <f t="shared" si="99"/>
        <v>0210</v>
      </c>
      <c r="H624" s="9" t="s">
        <v>12</v>
      </c>
      <c r="I624" s="12"/>
    </row>
    <row r="625" spans="1:9" ht="30" customHeight="1">
      <c r="A625" s="8">
        <v>623</v>
      </c>
      <c r="B625" s="9" t="s">
        <v>24</v>
      </c>
      <c r="C625" s="9" t="s">
        <v>22</v>
      </c>
      <c r="D625" s="9" t="str">
        <f>"陈忠宇"</f>
        <v>陈忠宇</v>
      </c>
      <c r="E625" s="9" t="str">
        <f aca="true" t="shared" si="104" ref="E625:E630">"男"</f>
        <v>男</v>
      </c>
      <c r="F625" s="9" t="str">
        <f>"639920240428162749116293"</f>
        <v>639920240428162749116293</v>
      </c>
      <c r="G625" s="9" t="str">
        <f t="shared" si="99"/>
        <v>0210</v>
      </c>
      <c r="H625" s="9" t="s">
        <v>12</v>
      </c>
      <c r="I625" s="12"/>
    </row>
    <row r="626" spans="1:9" ht="30" customHeight="1">
      <c r="A626" s="8">
        <v>624</v>
      </c>
      <c r="B626" s="9" t="s">
        <v>24</v>
      </c>
      <c r="C626" s="9" t="s">
        <v>22</v>
      </c>
      <c r="D626" s="9" t="str">
        <f>"李敏"</f>
        <v>李敏</v>
      </c>
      <c r="E626" s="9" t="str">
        <f t="shared" si="103"/>
        <v>女</v>
      </c>
      <c r="F626" s="9" t="str">
        <f>"639920240429120518118583"</f>
        <v>639920240429120518118583</v>
      </c>
      <c r="G626" s="9" t="str">
        <f t="shared" si="99"/>
        <v>0210</v>
      </c>
      <c r="H626" s="9" t="s">
        <v>12</v>
      </c>
      <c r="I626" s="12"/>
    </row>
    <row r="627" spans="1:9" ht="30" customHeight="1">
      <c r="A627" s="8">
        <v>625</v>
      </c>
      <c r="B627" s="9" t="s">
        <v>24</v>
      </c>
      <c r="C627" s="9" t="s">
        <v>22</v>
      </c>
      <c r="D627" s="9" t="str">
        <f>"贺洁"</f>
        <v>贺洁</v>
      </c>
      <c r="E627" s="9" t="str">
        <f t="shared" si="103"/>
        <v>女</v>
      </c>
      <c r="F627" s="9" t="str">
        <f>"639920240429135805118951"</f>
        <v>639920240429135805118951</v>
      </c>
      <c r="G627" s="9" t="str">
        <f t="shared" si="99"/>
        <v>0210</v>
      </c>
      <c r="H627" s="9" t="s">
        <v>12</v>
      </c>
      <c r="I627" s="12"/>
    </row>
    <row r="628" spans="1:9" ht="30" customHeight="1">
      <c r="A628" s="8">
        <v>626</v>
      </c>
      <c r="B628" s="9" t="s">
        <v>24</v>
      </c>
      <c r="C628" s="9" t="s">
        <v>28</v>
      </c>
      <c r="D628" s="9" t="str">
        <f>"王丽玮"</f>
        <v>王丽玮</v>
      </c>
      <c r="E628" s="9" t="str">
        <f t="shared" si="103"/>
        <v>女</v>
      </c>
      <c r="F628" s="9" t="str">
        <f>"63992024041918144751647"</f>
        <v>63992024041918144751647</v>
      </c>
      <c r="G628" s="9" t="str">
        <f aca="true" t="shared" si="105" ref="G628:G663">"0211"</f>
        <v>0211</v>
      </c>
      <c r="H628" s="9" t="s">
        <v>12</v>
      </c>
      <c r="I628" s="12"/>
    </row>
    <row r="629" spans="1:9" ht="30" customHeight="1">
      <c r="A629" s="8">
        <v>627</v>
      </c>
      <c r="B629" s="9" t="s">
        <v>24</v>
      </c>
      <c r="C629" s="9" t="s">
        <v>28</v>
      </c>
      <c r="D629" s="9" t="str">
        <f>"江文斌"</f>
        <v>江文斌</v>
      </c>
      <c r="E629" s="9" t="str">
        <f t="shared" si="104"/>
        <v>男</v>
      </c>
      <c r="F629" s="9" t="str">
        <f>"63992024041919101851746"</f>
        <v>63992024041919101851746</v>
      </c>
      <c r="G629" s="9" t="str">
        <f t="shared" si="105"/>
        <v>0211</v>
      </c>
      <c r="H629" s="9" t="s">
        <v>12</v>
      </c>
      <c r="I629" s="12"/>
    </row>
    <row r="630" spans="1:9" ht="30" customHeight="1">
      <c r="A630" s="8">
        <v>628</v>
      </c>
      <c r="B630" s="9" t="s">
        <v>24</v>
      </c>
      <c r="C630" s="9" t="s">
        <v>28</v>
      </c>
      <c r="D630" s="9" t="str">
        <f>"周达伟"</f>
        <v>周达伟</v>
      </c>
      <c r="E630" s="9" t="str">
        <f t="shared" si="104"/>
        <v>男</v>
      </c>
      <c r="F630" s="9" t="str">
        <f>"63992024042003142352229"</f>
        <v>63992024042003142352229</v>
      </c>
      <c r="G630" s="9" t="str">
        <f t="shared" si="105"/>
        <v>0211</v>
      </c>
      <c r="H630" s="9" t="s">
        <v>12</v>
      </c>
      <c r="I630" s="12"/>
    </row>
    <row r="631" spans="1:9" ht="30" customHeight="1">
      <c r="A631" s="8">
        <v>629</v>
      </c>
      <c r="B631" s="9" t="s">
        <v>24</v>
      </c>
      <c r="C631" s="9" t="s">
        <v>28</v>
      </c>
      <c r="D631" s="9" t="str">
        <f>"杨学倩"</f>
        <v>杨学倩</v>
      </c>
      <c r="E631" s="9" t="str">
        <f aca="true" t="shared" si="106" ref="E631:E639">"女"</f>
        <v>女</v>
      </c>
      <c r="F631" s="9" t="str">
        <f>"63992024042021273056588"</f>
        <v>63992024042021273056588</v>
      </c>
      <c r="G631" s="9" t="str">
        <f t="shared" si="105"/>
        <v>0211</v>
      </c>
      <c r="H631" s="9" t="s">
        <v>12</v>
      </c>
      <c r="I631" s="12"/>
    </row>
    <row r="632" spans="1:9" ht="30" customHeight="1">
      <c r="A632" s="8">
        <v>630</v>
      </c>
      <c r="B632" s="9" t="s">
        <v>24</v>
      </c>
      <c r="C632" s="9" t="s">
        <v>28</v>
      </c>
      <c r="D632" s="9" t="str">
        <f>"符策坤"</f>
        <v>符策坤</v>
      </c>
      <c r="E632" s="9" t="str">
        <f>"男"</f>
        <v>男</v>
      </c>
      <c r="F632" s="9" t="str">
        <f>"63992024042021531556623"</f>
        <v>63992024042021531556623</v>
      </c>
      <c r="G632" s="9" t="str">
        <f t="shared" si="105"/>
        <v>0211</v>
      </c>
      <c r="H632" s="9" t="s">
        <v>12</v>
      </c>
      <c r="I632" s="12"/>
    </row>
    <row r="633" spans="1:9" ht="30" customHeight="1">
      <c r="A633" s="8">
        <v>631</v>
      </c>
      <c r="B633" s="9" t="s">
        <v>24</v>
      </c>
      <c r="C633" s="9" t="s">
        <v>28</v>
      </c>
      <c r="D633" s="9" t="str">
        <f>"许程"</f>
        <v>许程</v>
      </c>
      <c r="E633" s="9" t="str">
        <f>"男"</f>
        <v>男</v>
      </c>
      <c r="F633" s="9" t="str">
        <f>"63992024042109512556930"</f>
        <v>63992024042109512556930</v>
      </c>
      <c r="G633" s="9" t="str">
        <f t="shared" si="105"/>
        <v>0211</v>
      </c>
      <c r="H633" s="9" t="s">
        <v>12</v>
      </c>
      <c r="I633" s="12"/>
    </row>
    <row r="634" spans="1:9" ht="30" customHeight="1">
      <c r="A634" s="8">
        <v>632</v>
      </c>
      <c r="B634" s="9" t="s">
        <v>24</v>
      </c>
      <c r="C634" s="9" t="s">
        <v>28</v>
      </c>
      <c r="D634" s="9" t="str">
        <f>"陈顺芬"</f>
        <v>陈顺芬</v>
      </c>
      <c r="E634" s="9" t="str">
        <f t="shared" si="106"/>
        <v>女</v>
      </c>
      <c r="F634" s="9" t="str">
        <f>"63992024042117441957660"</f>
        <v>63992024042117441957660</v>
      </c>
      <c r="G634" s="9" t="str">
        <f t="shared" si="105"/>
        <v>0211</v>
      </c>
      <c r="H634" s="9" t="s">
        <v>12</v>
      </c>
      <c r="I634" s="12"/>
    </row>
    <row r="635" spans="1:9" ht="30" customHeight="1">
      <c r="A635" s="8">
        <v>633</v>
      </c>
      <c r="B635" s="9" t="s">
        <v>24</v>
      </c>
      <c r="C635" s="9" t="s">
        <v>28</v>
      </c>
      <c r="D635" s="9" t="str">
        <f>"陈华萍"</f>
        <v>陈华萍</v>
      </c>
      <c r="E635" s="9" t="str">
        <f t="shared" si="106"/>
        <v>女</v>
      </c>
      <c r="F635" s="9" t="str">
        <f>"63992024042118484657737"</f>
        <v>63992024042118484657737</v>
      </c>
      <c r="G635" s="9" t="str">
        <f t="shared" si="105"/>
        <v>0211</v>
      </c>
      <c r="H635" s="9" t="s">
        <v>12</v>
      </c>
      <c r="I635" s="12"/>
    </row>
    <row r="636" spans="1:9" ht="30" customHeight="1">
      <c r="A636" s="8">
        <v>634</v>
      </c>
      <c r="B636" s="9" t="s">
        <v>24</v>
      </c>
      <c r="C636" s="9" t="s">
        <v>28</v>
      </c>
      <c r="D636" s="9" t="str">
        <f>"蔡如双"</f>
        <v>蔡如双</v>
      </c>
      <c r="E636" s="9" t="str">
        <f t="shared" si="106"/>
        <v>女</v>
      </c>
      <c r="F636" s="9" t="str">
        <f>"63992024042119485657801"</f>
        <v>63992024042119485657801</v>
      </c>
      <c r="G636" s="9" t="str">
        <f t="shared" si="105"/>
        <v>0211</v>
      </c>
      <c r="H636" s="9" t="s">
        <v>12</v>
      </c>
      <c r="I636" s="12"/>
    </row>
    <row r="637" spans="1:9" ht="30" customHeight="1">
      <c r="A637" s="8">
        <v>635</v>
      </c>
      <c r="B637" s="9" t="s">
        <v>24</v>
      </c>
      <c r="C637" s="9" t="s">
        <v>28</v>
      </c>
      <c r="D637" s="9" t="str">
        <f>"韩宝茹"</f>
        <v>韩宝茹</v>
      </c>
      <c r="E637" s="9" t="str">
        <f t="shared" si="106"/>
        <v>女</v>
      </c>
      <c r="F637" s="9" t="str">
        <f>"63992024042210171559938"</f>
        <v>63992024042210171559938</v>
      </c>
      <c r="G637" s="9" t="str">
        <f t="shared" si="105"/>
        <v>0211</v>
      </c>
      <c r="H637" s="9" t="s">
        <v>12</v>
      </c>
      <c r="I637" s="12"/>
    </row>
    <row r="638" spans="1:9" ht="30" customHeight="1">
      <c r="A638" s="8">
        <v>636</v>
      </c>
      <c r="B638" s="9" t="s">
        <v>24</v>
      </c>
      <c r="C638" s="9" t="s">
        <v>28</v>
      </c>
      <c r="D638" s="9" t="str">
        <f>"陈宇颖"</f>
        <v>陈宇颖</v>
      </c>
      <c r="E638" s="9" t="str">
        <f t="shared" si="106"/>
        <v>女</v>
      </c>
      <c r="F638" s="9" t="str">
        <f>"63992024042210280360067"</f>
        <v>63992024042210280360067</v>
      </c>
      <c r="G638" s="9" t="str">
        <f t="shared" si="105"/>
        <v>0211</v>
      </c>
      <c r="H638" s="9" t="s">
        <v>12</v>
      </c>
      <c r="I638" s="12"/>
    </row>
    <row r="639" spans="1:9" ht="30" customHeight="1">
      <c r="A639" s="8">
        <v>637</v>
      </c>
      <c r="B639" s="9" t="s">
        <v>24</v>
      </c>
      <c r="C639" s="9" t="s">
        <v>28</v>
      </c>
      <c r="D639" s="9" t="str">
        <f>"蔡慧"</f>
        <v>蔡慧</v>
      </c>
      <c r="E639" s="9" t="str">
        <f t="shared" si="106"/>
        <v>女</v>
      </c>
      <c r="F639" s="9" t="str">
        <f>"63992024042210414260219"</f>
        <v>63992024042210414260219</v>
      </c>
      <c r="G639" s="9" t="str">
        <f t="shared" si="105"/>
        <v>0211</v>
      </c>
      <c r="H639" s="9" t="s">
        <v>12</v>
      </c>
      <c r="I639" s="12"/>
    </row>
    <row r="640" spans="1:9" ht="30" customHeight="1">
      <c r="A640" s="8">
        <v>638</v>
      </c>
      <c r="B640" s="9" t="s">
        <v>24</v>
      </c>
      <c r="C640" s="9" t="s">
        <v>28</v>
      </c>
      <c r="D640" s="9" t="str">
        <f>"宋若林"</f>
        <v>宋若林</v>
      </c>
      <c r="E640" s="9" t="str">
        <f aca="true" t="shared" si="107" ref="E640:E643">"男"</f>
        <v>男</v>
      </c>
      <c r="F640" s="9" t="str">
        <f>"63992024042217455766683"</f>
        <v>63992024042217455766683</v>
      </c>
      <c r="G640" s="9" t="str">
        <f t="shared" si="105"/>
        <v>0211</v>
      </c>
      <c r="H640" s="9" t="s">
        <v>12</v>
      </c>
      <c r="I640" s="12"/>
    </row>
    <row r="641" spans="1:9" ht="30" customHeight="1">
      <c r="A641" s="8">
        <v>639</v>
      </c>
      <c r="B641" s="9" t="s">
        <v>24</v>
      </c>
      <c r="C641" s="9" t="s">
        <v>28</v>
      </c>
      <c r="D641" s="9" t="str">
        <f>"梅傲霜"</f>
        <v>梅傲霜</v>
      </c>
      <c r="E641" s="9" t="str">
        <f aca="true" t="shared" si="108" ref="E641:E648">"女"</f>
        <v>女</v>
      </c>
      <c r="F641" s="9" t="str">
        <f>"63992024042111120057056"</f>
        <v>63992024042111120057056</v>
      </c>
      <c r="G641" s="9" t="str">
        <f t="shared" si="105"/>
        <v>0211</v>
      </c>
      <c r="H641" s="9" t="s">
        <v>12</v>
      </c>
      <c r="I641" s="12"/>
    </row>
    <row r="642" spans="1:9" ht="30" customHeight="1">
      <c r="A642" s="8">
        <v>640</v>
      </c>
      <c r="B642" s="9" t="s">
        <v>24</v>
      </c>
      <c r="C642" s="9" t="s">
        <v>28</v>
      </c>
      <c r="D642" s="9" t="str">
        <f>"冼恩禄"</f>
        <v>冼恩禄</v>
      </c>
      <c r="E642" s="9" t="str">
        <f t="shared" si="107"/>
        <v>男</v>
      </c>
      <c r="F642" s="9" t="str">
        <f>"63992024042312213973164"</f>
        <v>63992024042312213973164</v>
      </c>
      <c r="G642" s="9" t="str">
        <f t="shared" si="105"/>
        <v>0211</v>
      </c>
      <c r="H642" s="9" t="s">
        <v>12</v>
      </c>
      <c r="I642" s="12"/>
    </row>
    <row r="643" spans="1:9" ht="39.75" customHeight="1">
      <c r="A643" s="8">
        <v>641</v>
      </c>
      <c r="B643" s="9" t="s">
        <v>24</v>
      </c>
      <c r="C643" s="9" t="s">
        <v>28</v>
      </c>
      <c r="D643" s="9" t="str">
        <f>"詹生涛"</f>
        <v>詹生涛</v>
      </c>
      <c r="E643" s="9" t="str">
        <f t="shared" si="107"/>
        <v>男</v>
      </c>
      <c r="F643" s="9" t="str">
        <f>"63992024042315451175217"</f>
        <v>63992024042315451175217</v>
      </c>
      <c r="G643" s="9" t="str">
        <f t="shared" si="105"/>
        <v>0211</v>
      </c>
      <c r="H643" s="10" t="s">
        <v>15</v>
      </c>
      <c r="I643" s="12"/>
    </row>
    <row r="644" spans="1:9" ht="30" customHeight="1">
      <c r="A644" s="8">
        <v>642</v>
      </c>
      <c r="B644" s="9" t="s">
        <v>24</v>
      </c>
      <c r="C644" s="9" t="s">
        <v>28</v>
      </c>
      <c r="D644" s="9" t="str">
        <f>"谭雨茜"</f>
        <v>谭雨茜</v>
      </c>
      <c r="E644" s="9" t="str">
        <f t="shared" si="108"/>
        <v>女</v>
      </c>
      <c r="F644" s="9" t="str">
        <f>"63992024042315404975152"</f>
        <v>63992024042315404975152</v>
      </c>
      <c r="G644" s="9" t="str">
        <f t="shared" si="105"/>
        <v>0211</v>
      </c>
      <c r="H644" s="9" t="s">
        <v>12</v>
      </c>
      <c r="I644" s="12"/>
    </row>
    <row r="645" spans="1:9" ht="30" customHeight="1">
      <c r="A645" s="8">
        <v>643</v>
      </c>
      <c r="B645" s="9" t="s">
        <v>24</v>
      </c>
      <c r="C645" s="9" t="s">
        <v>28</v>
      </c>
      <c r="D645" s="9" t="str">
        <f>"符茂金"</f>
        <v>符茂金</v>
      </c>
      <c r="E645" s="9" t="str">
        <f>"男"</f>
        <v>男</v>
      </c>
      <c r="F645" s="9" t="str">
        <f>"63992024042316453475908"</f>
        <v>63992024042316453475908</v>
      </c>
      <c r="G645" s="9" t="str">
        <f t="shared" si="105"/>
        <v>0211</v>
      </c>
      <c r="H645" s="9" t="s">
        <v>12</v>
      </c>
      <c r="I645" s="12"/>
    </row>
    <row r="646" spans="1:9" ht="30" customHeight="1">
      <c r="A646" s="8">
        <v>644</v>
      </c>
      <c r="B646" s="9" t="s">
        <v>24</v>
      </c>
      <c r="C646" s="9" t="s">
        <v>28</v>
      </c>
      <c r="D646" s="9" t="str">
        <f>"王芳"</f>
        <v>王芳</v>
      </c>
      <c r="E646" s="9" t="str">
        <f t="shared" si="108"/>
        <v>女</v>
      </c>
      <c r="F646" s="9" t="str">
        <f>"63992024042221535968122"</f>
        <v>63992024042221535968122</v>
      </c>
      <c r="G646" s="9" t="str">
        <f t="shared" si="105"/>
        <v>0211</v>
      </c>
      <c r="H646" s="9" t="s">
        <v>12</v>
      </c>
      <c r="I646" s="12"/>
    </row>
    <row r="647" spans="1:9" ht="30" customHeight="1">
      <c r="A647" s="8">
        <v>645</v>
      </c>
      <c r="B647" s="9" t="s">
        <v>24</v>
      </c>
      <c r="C647" s="9" t="s">
        <v>28</v>
      </c>
      <c r="D647" s="9" t="str">
        <f>"杨佳妍"</f>
        <v>杨佳妍</v>
      </c>
      <c r="E647" s="9" t="str">
        <f t="shared" si="108"/>
        <v>女</v>
      </c>
      <c r="F647" s="9" t="str">
        <f>"63992024042322111679515"</f>
        <v>63992024042322111679515</v>
      </c>
      <c r="G647" s="9" t="str">
        <f t="shared" si="105"/>
        <v>0211</v>
      </c>
      <c r="H647" s="9" t="s">
        <v>12</v>
      </c>
      <c r="I647" s="12"/>
    </row>
    <row r="648" spans="1:9" ht="30" customHeight="1">
      <c r="A648" s="8">
        <v>646</v>
      </c>
      <c r="B648" s="9" t="s">
        <v>24</v>
      </c>
      <c r="C648" s="9" t="s">
        <v>28</v>
      </c>
      <c r="D648" s="9" t="str">
        <f>"吴樱霞"</f>
        <v>吴樱霞</v>
      </c>
      <c r="E648" s="9" t="str">
        <f t="shared" si="108"/>
        <v>女</v>
      </c>
      <c r="F648" s="9" t="str">
        <f>"63992024042410262286194"</f>
        <v>63992024042410262286194</v>
      </c>
      <c r="G648" s="9" t="str">
        <f t="shared" si="105"/>
        <v>0211</v>
      </c>
      <c r="H648" s="9" t="s">
        <v>12</v>
      </c>
      <c r="I648" s="12"/>
    </row>
    <row r="649" spans="1:9" ht="30" customHeight="1">
      <c r="A649" s="8">
        <v>647</v>
      </c>
      <c r="B649" s="9" t="s">
        <v>24</v>
      </c>
      <c r="C649" s="9" t="s">
        <v>28</v>
      </c>
      <c r="D649" s="9" t="str">
        <f>"梁建业&amp;#160;"</f>
        <v>梁建业&amp;#160;</v>
      </c>
      <c r="E649" s="9" t="str">
        <f aca="true" t="shared" si="109" ref="E649:E654">"男"</f>
        <v>男</v>
      </c>
      <c r="F649" s="9" t="str">
        <f>"63992024042410514486648"</f>
        <v>63992024042410514486648</v>
      </c>
      <c r="G649" s="9" t="str">
        <f t="shared" si="105"/>
        <v>0211</v>
      </c>
      <c r="H649" s="9" t="s">
        <v>12</v>
      </c>
      <c r="I649" s="12"/>
    </row>
    <row r="650" spans="1:9" ht="30" customHeight="1">
      <c r="A650" s="8">
        <v>648</v>
      </c>
      <c r="B650" s="9" t="s">
        <v>24</v>
      </c>
      <c r="C650" s="9" t="s">
        <v>28</v>
      </c>
      <c r="D650" s="9" t="str">
        <f>"黄恋云"</f>
        <v>黄恋云</v>
      </c>
      <c r="E650" s="9" t="str">
        <f aca="true" t="shared" si="110" ref="E650:E655">"女"</f>
        <v>女</v>
      </c>
      <c r="F650" s="9" t="str">
        <f>"63992024042220550267778"</f>
        <v>63992024042220550267778</v>
      </c>
      <c r="G650" s="9" t="str">
        <f t="shared" si="105"/>
        <v>0211</v>
      </c>
      <c r="H650" s="9" t="s">
        <v>12</v>
      </c>
      <c r="I650" s="12"/>
    </row>
    <row r="651" spans="1:9" ht="30" customHeight="1">
      <c r="A651" s="8">
        <v>649</v>
      </c>
      <c r="B651" s="9" t="s">
        <v>24</v>
      </c>
      <c r="C651" s="9" t="s">
        <v>28</v>
      </c>
      <c r="D651" s="9" t="str">
        <f>"鲁雪"</f>
        <v>鲁雪</v>
      </c>
      <c r="E651" s="9" t="str">
        <f t="shared" si="110"/>
        <v>女</v>
      </c>
      <c r="F651" s="9" t="str">
        <f>"63992024042511240695150"</f>
        <v>63992024042511240695150</v>
      </c>
      <c r="G651" s="9" t="str">
        <f t="shared" si="105"/>
        <v>0211</v>
      </c>
      <c r="H651" s="9" t="s">
        <v>12</v>
      </c>
      <c r="I651" s="12"/>
    </row>
    <row r="652" spans="1:9" ht="30" customHeight="1">
      <c r="A652" s="8">
        <v>650</v>
      </c>
      <c r="B652" s="9" t="s">
        <v>24</v>
      </c>
      <c r="C652" s="9" t="s">
        <v>28</v>
      </c>
      <c r="D652" s="9" t="str">
        <f>"李羿成"</f>
        <v>李羿成</v>
      </c>
      <c r="E652" s="9" t="str">
        <f t="shared" si="109"/>
        <v>男</v>
      </c>
      <c r="F652" s="9" t="str">
        <f>"63992024042607131498394"</f>
        <v>63992024042607131498394</v>
      </c>
      <c r="G652" s="9" t="str">
        <f t="shared" si="105"/>
        <v>0211</v>
      </c>
      <c r="H652" s="9" t="s">
        <v>12</v>
      </c>
      <c r="I652" s="12"/>
    </row>
    <row r="653" spans="1:9" ht="30" customHeight="1">
      <c r="A653" s="8">
        <v>651</v>
      </c>
      <c r="B653" s="9" t="s">
        <v>24</v>
      </c>
      <c r="C653" s="9" t="s">
        <v>28</v>
      </c>
      <c r="D653" s="9" t="str">
        <f>"朱立臣"</f>
        <v>朱立臣</v>
      </c>
      <c r="E653" s="9" t="str">
        <f t="shared" si="109"/>
        <v>男</v>
      </c>
      <c r="F653" s="9" t="str">
        <f>"639920240426224303111659"</f>
        <v>639920240426224303111659</v>
      </c>
      <c r="G653" s="9" t="str">
        <f t="shared" si="105"/>
        <v>0211</v>
      </c>
      <c r="H653" s="9" t="s">
        <v>12</v>
      </c>
      <c r="I653" s="12"/>
    </row>
    <row r="654" spans="1:9" ht="30" customHeight="1">
      <c r="A654" s="8">
        <v>652</v>
      </c>
      <c r="B654" s="9" t="s">
        <v>24</v>
      </c>
      <c r="C654" s="9" t="s">
        <v>28</v>
      </c>
      <c r="D654" s="9" t="str">
        <f>"周可维"</f>
        <v>周可维</v>
      </c>
      <c r="E654" s="9" t="str">
        <f t="shared" si="109"/>
        <v>男</v>
      </c>
      <c r="F654" s="9" t="str">
        <f>"639920240426225540111679"</f>
        <v>639920240426225540111679</v>
      </c>
      <c r="G654" s="9" t="str">
        <f t="shared" si="105"/>
        <v>0211</v>
      </c>
      <c r="H654" s="9" t="s">
        <v>12</v>
      </c>
      <c r="I654" s="12"/>
    </row>
    <row r="655" spans="1:9" ht="30" customHeight="1">
      <c r="A655" s="8">
        <v>653</v>
      </c>
      <c r="B655" s="9" t="s">
        <v>24</v>
      </c>
      <c r="C655" s="9" t="s">
        <v>28</v>
      </c>
      <c r="D655" s="9" t="str">
        <f>"陈欢"</f>
        <v>陈欢</v>
      </c>
      <c r="E655" s="9" t="str">
        <f t="shared" si="110"/>
        <v>女</v>
      </c>
      <c r="F655" s="9" t="str">
        <f>"639920240427162413113102"</f>
        <v>639920240427162413113102</v>
      </c>
      <c r="G655" s="9" t="str">
        <f t="shared" si="105"/>
        <v>0211</v>
      </c>
      <c r="H655" s="9" t="s">
        <v>12</v>
      </c>
      <c r="I655" s="12"/>
    </row>
    <row r="656" spans="1:9" ht="30" customHeight="1">
      <c r="A656" s="8">
        <v>654</v>
      </c>
      <c r="B656" s="9" t="s">
        <v>24</v>
      </c>
      <c r="C656" s="9" t="s">
        <v>28</v>
      </c>
      <c r="D656" s="9" t="str">
        <f>"李振昌"</f>
        <v>李振昌</v>
      </c>
      <c r="E656" s="9" t="str">
        <f aca="true" t="shared" si="111" ref="E656:E661">"男"</f>
        <v>男</v>
      </c>
      <c r="F656" s="9" t="str">
        <f>"639920240427221808113891"</f>
        <v>639920240427221808113891</v>
      </c>
      <c r="G656" s="9" t="str">
        <f t="shared" si="105"/>
        <v>0211</v>
      </c>
      <c r="H656" s="9" t="s">
        <v>12</v>
      </c>
      <c r="I656" s="12"/>
    </row>
    <row r="657" spans="1:9" ht="30" customHeight="1">
      <c r="A657" s="8">
        <v>655</v>
      </c>
      <c r="B657" s="9" t="s">
        <v>24</v>
      </c>
      <c r="C657" s="9" t="s">
        <v>28</v>
      </c>
      <c r="D657" s="9" t="str">
        <f>"陈滢萍"</f>
        <v>陈滢萍</v>
      </c>
      <c r="E657" s="9" t="str">
        <f aca="true" t="shared" si="112" ref="E657:E662">"女"</f>
        <v>女</v>
      </c>
      <c r="F657" s="9" t="str">
        <f>"639920240427225605113963"</f>
        <v>639920240427225605113963</v>
      </c>
      <c r="G657" s="9" t="str">
        <f t="shared" si="105"/>
        <v>0211</v>
      </c>
      <c r="H657" s="9" t="s">
        <v>12</v>
      </c>
      <c r="I657" s="12"/>
    </row>
    <row r="658" spans="1:9" ht="30" customHeight="1">
      <c r="A658" s="8">
        <v>656</v>
      </c>
      <c r="B658" s="9" t="s">
        <v>24</v>
      </c>
      <c r="C658" s="9" t="s">
        <v>28</v>
      </c>
      <c r="D658" s="9" t="str">
        <f>"吴小蕊"</f>
        <v>吴小蕊</v>
      </c>
      <c r="E658" s="9" t="str">
        <f t="shared" si="112"/>
        <v>女</v>
      </c>
      <c r="F658" s="9" t="str">
        <f>"639920240427120328112502"</f>
        <v>639920240427120328112502</v>
      </c>
      <c r="G658" s="9" t="str">
        <f t="shared" si="105"/>
        <v>0211</v>
      </c>
      <c r="H658" s="9" t="s">
        <v>12</v>
      </c>
      <c r="I658" s="12"/>
    </row>
    <row r="659" spans="1:9" ht="30" customHeight="1">
      <c r="A659" s="8">
        <v>657</v>
      </c>
      <c r="B659" s="9" t="s">
        <v>24</v>
      </c>
      <c r="C659" s="9" t="s">
        <v>28</v>
      </c>
      <c r="D659" s="9" t="str">
        <f>"陈华诗"</f>
        <v>陈华诗</v>
      </c>
      <c r="E659" s="9" t="str">
        <f t="shared" si="111"/>
        <v>男</v>
      </c>
      <c r="F659" s="9" t="str">
        <f>"639920240428122743115471"</f>
        <v>639920240428122743115471</v>
      </c>
      <c r="G659" s="9" t="str">
        <f t="shared" si="105"/>
        <v>0211</v>
      </c>
      <c r="H659" s="9" t="s">
        <v>12</v>
      </c>
      <c r="I659" s="12"/>
    </row>
    <row r="660" spans="1:9" ht="30" customHeight="1">
      <c r="A660" s="8">
        <v>658</v>
      </c>
      <c r="B660" s="9" t="s">
        <v>24</v>
      </c>
      <c r="C660" s="9" t="s">
        <v>28</v>
      </c>
      <c r="D660" s="9" t="str">
        <f>"陈泽帅"</f>
        <v>陈泽帅</v>
      </c>
      <c r="E660" s="9" t="str">
        <f t="shared" si="111"/>
        <v>男</v>
      </c>
      <c r="F660" s="9" t="str">
        <f>"639920240428212455117064"</f>
        <v>639920240428212455117064</v>
      </c>
      <c r="G660" s="9" t="str">
        <f t="shared" si="105"/>
        <v>0211</v>
      </c>
      <c r="H660" s="9" t="s">
        <v>12</v>
      </c>
      <c r="I660" s="12"/>
    </row>
    <row r="661" spans="1:9" ht="30" customHeight="1">
      <c r="A661" s="8">
        <v>659</v>
      </c>
      <c r="B661" s="9" t="s">
        <v>24</v>
      </c>
      <c r="C661" s="9" t="s">
        <v>28</v>
      </c>
      <c r="D661" s="9" t="str">
        <f>"欧琼迪"</f>
        <v>欧琼迪</v>
      </c>
      <c r="E661" s="9" t="str">
        <f t="shared" si="111"/>
        <v>男</v>
      </c>
      <c r="F661" s="9" t="str">
        <f>"639920240428212829117071"</f>
        <v>639920240428212829117071</v>
      </c>
      <c r="G661" s="9" t="str">
        <f t="shared" si="105"/>
        <v>0211</v>
      </c>
      <c r="H661" s="9" t="s">
        <v>12</v>
      </c>
      <c r="I661" s="12"/>
    </row>
    <row r="662" spans="1:9" ht="30" customHeight="1">
      <c r="A662" s="8">
        <v>660</v>
      </c>
      <c r="B662" s="9" t="s">
        <v>24</v>
      </c>
      <c r="C662" s="9" t="s">
        <v>28</v>
      </c>
      <c r="D662" s="9" t="str">
        <f>"王田"</f>
        <v>王田</v>
      </c>
      <c r="E662" s="9" t="str">
        <f t="shared" si="112"/>
        <v>女</v>
      </c>
      <c r="F662" s="9" t="str">
        <f>"63992024042316053075447"</f>
        <v>63992024042316053075447</v>
      </c>
      <c r="G662" s="9" t="str">
        <f t="shared" si="105"/>
        <v>0211</v>
      </c>
      <c r="H662" s="9" t="s">
        <v>12</v>
      </c>
      <c r="I662" s="12"/>
    </row>
    <row r="663" spans="1:9" ht="30" customHeight="1">
      <c r="A663" s="8">
        <v>661</v>
      </c>
      <c r="B663" s="9" t="s">
        <v>24</v>
      </c>
      <c r="C663" s="9" t="s">
        <v>28</v>
      </c>
      <c r="D663" s="9" t="str">
        <f>"李桦桂"</f>
        <v>李桦桂</v>
      </c>
      <c r="E663" s="9" t="str">
        <f aca="true" t="shared" si="113" ref="E663:E668">"男"</f>
        <v>男</v>
      </c>
      <c r="F663" s="9" t="str">
        <f>"639920240429154517119452"</f>
        <v>639920240429154517119452</v>
      </c>
      <c r="G663" s="9" t="str">
        <f t="shared" si="105"/>
        <v>0211</v>
      </c>
      <c r="H663" s="9" t="s">
        <v>12</v>
      </c>
      <c r="I663" s="12"/>
    </row>
    <row r="664" spans="1:9" ht="30" customHeight="1">
      <c r="A664" s="8">
        <v>662</v>
      </c>
      <c r="B664" s="9" t="s">
        <v>24</v>
      </c>
      <c r="C664" s="9" t="s">
        <v>29</v>
      </c>
      <c r="D664" s="9" t="str">
        <f>"符高运"</f>
        <v>符高运</v>
      </c>
      <c r="E664" s="9" t="str">
        <f t="shared" si="113"/>
        <v>男</v>
      </c>
      <c r="F664" s="9" t="str">
        <f>"63992024041916500051424"</f>
        <v>63992024041916500051424</v>
      </c>
      <c r="G664" s="9" t="str">
        <f aca="true" t="shared" si="114" ref="G664:G727">"0212"</f>
        <v>0212</v>
      </c>
      <c r="H664" s="9" t="s">
        <v>12</v>
      </c>
      <c r="I664" s="12"/>
    </row>
    <row r="665" spans="1:9" ht="30" customHeight="1">
      <c r="A665" s="8">
        <v>663</v>
      </c>
      <c r="B665" s="9" t="s">
        <v>24</v>
      </c>
      <c r="C665" s="9" t="s">
        <v>29</v>
      </c>
      <c r="D665" s="9" t="str">
        <f>"陈候祥"</f>
        <v>陈候祥</v>
      </c>
      <c r="E665" s="9" t="str">
        <f t="shared" si="113"/>
        <v>男</v>
      </c>
      <c r="F665" s="9" t="str">
        <f>"63992024041917052351485"</f>
        <v>63992024041917052351485</v>
      </c>
      <c r="G665" s="9" t="str">
        <f t="shared" si="114"/>
        <v>0212</v>
      </c>
      <c r="H665" s="9" t="s">
        <v>12</v>
      </c>
      <c r="I665" s="12"/>
    </row>
    <row r="666" spans="1:9" ht="30" customHeight="1">
      <c r="A666" s="8">
        <v>664</v>
      </c>
      <c r="B666" s="9" t="s">
        <v>24</v>
      </c>
      <c r="C666" s="9" t="s">
        <v>29</v>
      </c>
      <c r="D666" s="9" t="str">
        <f>"何文华"</f>
        <v>何文华</v>
      </c>
      <c r="E666" s="9" t="str">
        <f t="shared" si="113"/>
        <v>男</v>
      </c>
      <c r="F666" s="9" t="str">
        <f>"63992024041917233751534"</f>
        <v>63992024041917233751534</v>
      </c>
      <c r="G666" s="9" t="str">
        <f t="shared" si="114"/>
        <v>0212</v>
      </c>
      <c r="H666" s="9" t="s">
        <v>12</v>
      </c>
      <c r="I666" s="12"/>
    </row>
    <row r="667" spans="1:9" ht="30" customHeight="1">
      <c r="A667" s="8">
        <v>665</v>
      </c>
      <c r="B667" s="9" t="s">
        <v>24</v>
      </c>
      <c r="C667" s="9" t="s">
        <v>29</v>
      </c>
      <c r="D667" s="9" t="str">
        <f>"杨畅"</f>
        <v>杨畅</v>
      </c>
      <c r="E667" s="9" t="str">
        <f t="shared" si="113"/>
        <v>男</v>
      </c>
      <c r="F667" s="9" t="str">
        <f>"63992024041917320851557"</f>
        <v>63992024041917320851557</v>
      </c>
      <c r="G667" s="9" t="str">
        <f t="shared" si="114"/>
        <v>0212</v>
      </c>
      <c r="H667" s="9" t="s">
        <v>12</v>
      </c>
      <c r="I667" s="12"/>
    </row>
    <row r="668" spans="1:9" ht="30" customHeight="1">
      <c r="A668" s="8">
        <v>666</v>
      </c>
      <c r="B668" s="9" t="s">
        <v>24</v>
      </c>
      <c r="C668" s="9" t="s">
        <v>29</v>
      </c>
      <c r="D668" s="9" t="str">
        <f>"郑金新"</f>
        <v>郑金新</v>
      </c>
      <c r="E668" s="9" t="str">
        <f t="shared" si="113"/>
        <v>男</v>
      </c>
      <c r="F668" s="9" t="str">
        <f>"63992024041917315751556"</f>
        <v>63992024041917315751556</v>
      </c>
      <c r="G668" s="9" t="str">
        <f t="shared" si="114"/>
        <v>0212</v>
      </c>
      <c r="H668" s="9" t="s">
        <v>12</v>
      </c>
      <c r="I668" s="12"/>
    </row>
    <row r="669" spans="1:9" ht="30" customHeight="1">
      <c r="A669" s="8">
        <v>667</v>
      </c>
      <c r="B669" s="9" t="s">
        <v>24</v>
      </c>
      <c r="C669" s="9" t="s">
        <v>29</v>
      </c>
      <c r="D669" s="9" t="str">
        <f>"肖焕连"</f>
        <v>肖焕连</v>
      </c>
      <c r="E669" s="9" t="str">
        <f>"女"</f>
        <v>女</v>
      </c>
      <c r="F669" s="9" t="str">
        <f>"63992024041917331851562"</f>
        <v>63992024041917331851562</v>
      </c>
      <c r="G669" s="9" t="str">
        <f t="shared" si="114"/>
        <v>0212</v>
      </c>
      <c r="H669" s="9" t="s">
        <v>12</v>
      </c>
      <c r="I669" s="12"/>
    </row>
    <row r="670" spans="1:9" ht="30" customHeight="1">
      <c r="A670" s="8">
        <v>668</v>
      </c>
      <c r="B670" s="9" t="s">
        <v>24</v>
      </c>
      <c r="C670" s="9" t="s">
        <v>29</v>
      </c>
      <c r="D670" s="9" t="str">
        <f>"王育全"</f>
        <v>王育全</v>
      </c>
      <c r="E670" s="9" t="str">
        <f aca="true" t="shared" si="115" ref="E670:E693">"男"</f>
        <v>男</v>
      </c>
      <c r="F670" s="9" t="str">
        <f>"63992024041919423351802"</f>
        <v>63992024041919423351802</v>
      </c>
      <c r="G670" s="9" t="str">
        <f t="shared" si="114"/>
        <v>0212</v>
      </c>
      <c r="H670" s="9" t="s">
        <v>12</v>
      </c>
      <c r="I670" s="12"/>
    </row>
    <row r="671" spans="1:9" ht="30" customHeight="1">
      <c r="A671" s="8">
        <v>669</v>
      </c>
      <c r="B671" s="9" t="s">
        <v>24</v>
      </c>
      <c r="C671" s="9" t="s">
        <v>29</v>
      </c>
      <c r="D671" s="9" t="str">
        <f>"刘泽昊"</f>
        <v>刘泽昊</v>
      </c>
      <c r="E671" s="9" t="str">
        <f t="shared" si="115"/>
        <v>男</v>
      </c>
      <c r="F671" s="9" t="str">
        <f>"63992024041922445652140"</f>
        <v>63992024041922445652140</v>
      </c>
      <c r="G671" s="9" t="str">
        <f t="shared" si="114"/>
        <v>0212</v>
      </c>
      <c r="H671" s="9" t="s">
        <v>12</v>
      </c>
      <c r="I671" s="12"/>
    </row>
    <row r="672" spans="1:9" ht="30" customHeight="1">
      <c r="A672" s="8">
        <v>670</v>
      </c>
      <c r="B672" s="9" t="s">
        <v>24</v>
      </c>
      <c r="C672" s="9" t="s">
        <v>29</v>
      </c>
      <c r="D672" s="9" t="str">
        <f>"符鸿泽"</f>
        <v>符鸿泽</v>
      </c>
      <c r="E672" s="9" t="str">
        <f t="shared" si="115"/>
        <v>男</v>
      </c>
      <c r="F672" s="9" t="str">
        <f>"63992024042011085652539"</f>
        <v>63992024042011085652539</v>
      </c>
      <c r="G672" s="9" t="str">
        <f t="shared" si="114"/>
        <v>0212</v>
      </c>
      <c r="H672" s="9" t="s">
        <v>12</v>
      </c>
      <c r="I672" s="12"/>
    </row>
    <row r="673" spans="1:9" ht="30" customHeight="1">
      <c r="A673" s="8">
        <v>671</v>
      </c>
      <c r="B673" s="9" t="s">
        <v>24</v>
      </c>
      <c r="C673" s="9" t="s">
        <v>29</v>
      </c>
      <c r="D673" s="9" t="str">
        <f>"陈佳伟"</f>
        <v>陈佳伟</v>
      </c>
      <c r="E673" s="9" t="str">
        <f t="shared" si="115"/>
        <v>男</v>
      </c>
      <c r="F673" s="9" t="str">
        <f>"63992024042012194252615"</f>
        <v>63992024042012194252615</v>
      </c>
      <c r="G673" s="9" t="str">
        <f t="shared" si="114"/>
        <v>0212</v>
      </c>
      <c r="H673" s="9" t="s">
        <v>12</v>
      </c>
      <c r="I673" s="12"/>
    </row>
    <row r="674" spans="1:9" ht="30" customHeight="1">
      <c r="A674" s="8">
        <v>672</v>
      </c>
      <c r="B674" s="9" t="s">
        <v>24</v>
      </c>
      <c r="C674" s="9" t="s">
        <v>29</v>
      </c>
      <c r="D674" s="9" t="str">
        <f>"张剑锋"</f>
        <v>张剑锋</v>
      </c>
      <c r="E674" s="9" t="str">
        <f t="shared" si="115"/>
        <v>男</v>
      </c>
      <c r="F674" s="9" t="str">
        <f>"63992024042015063052847"</f>
        <v>63992024042015063052847</v>
      </c>
      <c r="G674" s="9" t="str">
        <f t="shared" si="114"/>
        <v>0212</v>
      </c>
      <c r="H674" s="9" t="s">
        <v>12</v>
      </c>
      <c r="I674" s="12"/>
    </row>
    <row r="675" spans="1:9" ht="30" customHeight="1">
      <c r="A675" s="8">
        <v>673</v>
      </c>
      <c r="B675" s="9" t="s">
        <v>24</v>
      </c>
      <c r="C675" s="9" t="s">
        <v>29</v>
      </c>
      <c r="D675" s="9" t="str">
        <f>"马宇杰"</f>
        <v>马宇杰</v>
      </c>
      <c r="E675" s="9" t="str">
        <f t="shared" si="115"/>
        <v>男</v>
      </c>
      <c r="F675" s="9" t="str">
        <f>"63992024042014540952829"</f>
        <v>63992024042014540952829</v>
      </c>
      <c r="G675" s="9" t="str">
        <f t="shared" si="114"/>
        <v>0212</v>
      </c>
      <c r="H675" s="9" t="s">
        <v>12</v>
      </c>
      <c r="I675" s="12"/>
    </row>
    <row r="676" spans="1:9" ht="30" customHeight="1">
      <c r="A676" s="8">
        <v>674</v>
      </c>
      <c r="B676" s="9" t="s">
        <v>24</v>
      </c>
      <c r="C676" s="9" t="s">
        <v>29</v>
      </c>
      <c r="D676" s="9" t="str">
        <f>"谷帅"</f>
        <v>谷帅</v>
      </c>
      <c r="E676" s="9" t="str">
        <f t="shared" si="115"/>
        <v>男</v>
      </c>
      <c r="F676" s="9" t="str">
        <f>"63992024042015513852932"</f>
        <v>63992024042015513852932</v>
      </c>
      <c r="G676" s="9" t="str">
        <f t="shared" si="114"/>
        <v>0212</v>
      </c>
      <c r="H676" s="9" t="s">
        <v>12</v>
      </c>
      <c r="I676" s="12"/>
    </row>
    <row r="677" spans="1:9" ht="39.75" customHeight="1">
      <c r="A677" s="8">
        <v>675</v>
      </c>
      <c r="B677" s="9" t="s">
        <v>24</v>
      </c>
      <c r="C677" s="9" t="s">
        <v>29</v>
      </c>
      <c r="D677" s="9" t="str">
        <f>"符造位"</f>
        <v>符造位</v>
      </c>
      <c r="E677" s="9" t="str">
        <f t="shared" si="115"/>
        <v>男</v>
      </c>
      <c r="F677" s="9" t="str">
        <f>"63992024042019583056451"</f>
        <v>63992024042019583056451</v>
      </c>
      <c r="G677" s="9" t="str">
        <f t="shared" si="114"/>
        <v>0212</v>
      </c>
      <c r="H677" s="10" t="s">
        <v>15</v>
      </c>
      <c r="I677" s="12"/>
    </row>
    <row r="678" spans="1:9" ht="39.75" customHeight="1">
      <c r="A678" s="8">
        <v>676</v>
      </c>
      <c r="B678" s="9" t="s">
        <v>24</v>
      </c>
      <c r="C678" s="9" t="s">
        <v>29</v>
      </c>
      <c r="D678" s="9" t="str">
        <f>"孙嘉伟"</f>
        <v>孙嘉伟</v>
      </c>
      <c r="E678" s="9" t="str">
        <f t="shared" si="115"/>
        <v>男</v>
      </c>
      <c r="F678" s="9" t="str">
        <f>"63992024042021383756603"</f>
        <v>63992024042021383756603</v>
      </c>
      <c r="G678" s="9" t="str">
        <f t="shared" si="114"/>
        <v>0212</v>
      </c>
      <c r="H678" s="10" t="s">
        <v>15</v>
      </c>
      <c r="I678" s="12"/>
    </row>
    <row r="679" spans="1:9" ht="30" customHeight="1">
      <c r="A679" s="8">
        <v>677</v>
      </c>
      <c r="B679" s="9" t="s">
        <v>24</v>
      </c>
      <c r="C679" s="9" t="s">
        <v>29</v>
      </c>
      <c r="D679" s="9" t="str">
        <f>"黄启彬"</f>
        <v>黄启彬</v>
      </c>
      <c r="E679" s="9" t="str">
        <f t="shared" si="115"/>
        <v>男</v>
      </c>
      <c r="F679" s="9" t="str">
        <f>"63992024042021392956604"</f>
        <v>63992024042021392956604</v>
      </c>
      <c r="G679" s="9" t="str">
        <f t="shared" si="114"/>
        <v>0212</v>
      </c>
      <c r="H679" s="9" t="s">
        <v>12</v>
      </c>
      <c r="I679" s="12"/>
    </row>
    <row r="680" spans="1:9" ht="30" customHeight="1">
      <c r="A680" s="8">
        <v>678</v>
      </c>
      <c r="B680" s="9" t="s">
        <v>24</v>
      </c>
      <c r="C680" s="9" t="s">
        <v>29</v>
      </c>
      <c r="D680" s="9" t="str">
        <f>"李世俊"</f>
        <v>李世俊</v>
      </c>
      <c r="E680" s="9" t="str">
        <f t="shared" si="115"/>
        <v>男</v>
      </c>
      <c r="F680" s="9" t="str">
        <f>"63992024042017114653039"</f>
        <v>63992024042017114653039</v>
      </c>
      <c r="G680" s="9" t="str">
        <f t="shared" si="114"/>
        <v>0212</v>
      </c>
      <c r="H680" s="9" t="s">
        <v>12</v>
      </c>
      <c r="I680" s="12"/>
    </row>
    <row r="681" spans="1:9" ht="30" customHeight="1">
      <c r="A681" s="8">
        <v>679</v>
      </c>
      <c r="B681" s="9" t="s">
        <v>24</v>
      </c>
      <c r="C681" s="9" t="s">
        <v>29</v>
      </c>
      <c r="D681" s="9" t="str">
        <f>"赖理智"</f>
        <v>赖理智</v>
      </c>
      <c r="E681" s="9" t="str">
        <f t="shared" si="115"/>
        <v>男</v>
      </c>
      <c r="F681" s="9" t="str">
        <f>"63992024042100341256766"</f>
        <v>63992024042100341256766</v>
      </c>
      <c r="G681" s="9" t="str">
        <f t="shared" si="114"/>
        <v>0212</v>
      </c>
      <c r="H681" s="9" t="s">
        <v>12</v>
      </c>
      <c r="I681" s="12"/>
    </row>
    <row r="682" spans="1:9" ht="30" customHeight="1">
      <c r="A682" s="8">
        <v>680</v>
      </c>
      <c r="B682" s="9" t="s">
        <v>24</v>
      </c>
      <c r="C682" s="9" t="s">
        <v>29</v>
      </c>
      <c r="D682" s="9" t="str">
        <f>"符志航"</f>
        <v>符志航</v>
      </c>
      <c r="E682" s="9" t="str">
        <f t="shared" si="115"/>
        <v>男</v>
      </c>
      <c r="F682" s="9" t="str">
        <f>"63992024042105014456792"</f>
        <v>63992024042105014456792</v>
      </c>
      <c r="G682" s="9" t="str">
        <f t="shared" si="114"/>
        <v>0212</v>
      </c>
      <c r="H682" s="9" t="s">
        <v>12</v>
      </c>
      <c r="I682" s="12"/>
    </row>
    <row r="683" spans="1:9" ht="30" customHeight="1">
      <c r="A683" s="8">
        <v>681</v>
      </c>
      <c r="B683" s="9" t="s">
        <v>24</v>
      </c>
      <c r="C683" s="9" t="s">
        <v>29</v>
      </c>
      <c r="D683" s="9" t="str">
        <f>"陈进影"</f>
        <v>陈进影</v>
      </c>
      <c r="E683" s="9" t="str">
        <f t="shared" si="115"/>
        <v>男</v>
      </c>
      <c r="F683" s="9" t="str">
        <f>"63992024042109391456909"</f>
        <v>63992024042109391456909</v>
      </c>
      <c r="G683" s="9" t="str">
        <f t="shared" si="114"/>
        <v>0212</v>
      </c>
      <c r="H683" s="9" t="s">
        <v>12</v>
      </c>
      <c r="I683" s="12"/>
    </row>
    <row r="684" spans="1:9" ht="39.75" customHeight="1">
      <c r="A684" s="8">
        <v>682</v>
      </c>
      <c r="B684" s="9" t="s">
        <v>24</v>
      </c>
      <c r="C684" s="9" t="s">
        <v>29</v>
      </c>
      <c r="D684" s="9" t="str">
        <f>"吉少岩"</f>
        <v>吉少岩</v>
      </c>
      <c r="E684" s="9" t="str">
        <f t="shared" si="115"/>
        <v>男</v>
      </c>
      <c r="F684" s="9" t="str">
        <f>"63992024042110411657011"</f>
        <v>63992024042110411657011</v>
      </c>
      <c r="G684" s="9" t="str">
        <f t="shared" si="114"/>
        <v>0212</v>
      </c>
      <c r="H684" s="10" t="s">
        <v>15</v>
      </c>
      <c r="I684" s="12"/>
    </row>
    <row r="685" spans="1:9" ht="30" customHeight="1">
      <c r="A685" s="8">
        <v>683</v>
      </c>
      <c r="B685" s="9" t="s">
        <v>24</v>
      </c>
      <c r="C685" s="9" t="s">
        <v>29</v>
      </c>
      <c r="D685" s="9" t="str">
        <f>"梁宁"</f>
        <v>梁宁</v>
      </c>
      <c r="E685" s="9" t="str">
        <f t="shared" si="115"/>
        <v>男</v>
      </c>
      <c r="F685" s="9" t="str">
        <f>"63992024042111502957124"</f>
        <v>63992024042111502957124</v>
      </c>
      <c r="G685" s="9" t="str">
        <f t="shared" si="114"/>
        <v>0212</v>
      </c>
      <c r="H685" s="9" t="s">
        <v>12</v>
      </c>
      <c r="I685" s="12"/>
    </row>
    <row r="686" spans="1:9" ht="30" customHeight="1">
      <c r="A686" s="8">
        <v>684</v>
      </c>
      <c r="B686" s="9" t="s">
        <v>24</v>
      </c>
      <c r="C686" s="9" t="s">
        <v>29</v>
      </c>
      <c r="D686" s="9" t="str">
        <f>"王丁旭"</f>
        <v>王丁旭</v>
      </c>
      <c r="E686" s="9" t="str">
        <f t="shared" si="115"/>
        <v>男</v>
      </c>
      <c r="F686" s="9" t="str">
        <f>"63992024042113263157278"</f>
        <v>63992024042113263157278</v>
      </c>
      <c r="G686" s="9" t="str">
        <f t="shared" si="114"/>
        <v>0212</v>
      </c>
      <c r="H686" s="9" t="s">
        <v>12</v>
      </c>
      <c r="I686" s="12"/>
    </row>
    <row r="687" spans="1:9" ht="30" customHeight="1">
      <c r="A687" s="8">
        <v>685</v>
      </c>
      <c r="B687" s="9" t="s">
        <v>24</v>
      </c>
      <c r="C687" s="9" t="s">
        <v>29</v>
      </c>
      <c r="D687" s="9" t="str">
        <f>"徐日蔚"</f>
        <v>徐日蔚</v>
      </c>
      <c r="E687" s="9" t="str">
        <f t="shared" si="115"/>
        <v>男</v>
      </c>
      <c r="F687" s="9" t="str">
        <f>"63992024042114285857368"</f>
        <v>63992024042114285857368</v>
      </c>
      <c r="G687" s="9" t="str">
        <f t="shared" si="114"/>
        <v>0212</v>
      </c>
      <c r="H687" s="9" t="s">
        <v>12</v>
      </c>
      <c r="I687" s="12"/>
    </row>
    <row r="688" spans="1:9" ht="30" customHeight="1">
      <c r="A688" s="8">
        <v>686</v>
      </c>
      <c r="B688" s="9" t="s">
        <v>24</v>
      </c>
      <c r="C688" s="9" t="s">
        <v>29</v>
      </c>
      <c r="D688" s="9" t="str">
        <f>"梁家龙"</f>
        <v>梁家龙</v>
      </c>
      <c r="E688" s="9" t="str">
        <f t="shared" si="115"/>
        <v>男</v>
      </c>
      <c r="F688" s="9" t="str">
        <f>"63992024042115133857451"</f>
        <v>63992024042115133857451</v>
      </c>
      <c r="G688" s="9" t="str">
        <f t="shared" si="114"/>
        <v>0212</v>
      </c>
      <c r="H688" s="9" t="s">
        <v>12</v>
      </c>
      <c r="I688" s="12"/>
    </row>
    <row r="689" spans="1:9" ht="30" customHeight="1">
      <c r="A689" s="8">
        <v>687</v>
      </c>
      <c r="B689" s="9" t="s">
        <v>24</v>
      </c>
      <c r="C689" s="9" t="s">
        <v>29</v>
      </c>
      <c r="D689" s="9" t="str">
        <f>"符东"</f>
        <v>符东</v>
      </c>
      <c r="E689" s="9" t="str">
        <f t="shared" si="115"/>
        <v>男</v>
      </c>
      <c r="F689" s="9" t="str">
        <f>"63992024042117193557635"</f>
        <v>63992024042117193557635</v>
      </c>
      <c r="G689" s="9" t="str">
        <f t="shared" si="114"/>
        <v>0212</v>
      </c>
      <c r="H689" s="9" t="s">
        <v>12</v>
      </c>
      <c r="I689" s="12"/>
    </row>
    <row r="690" spans="1:9" ht="30" customHeight="1">
      <c r="A690" s="8">
        <v>688</v>
      </c>
      <c r="B690" s="9" t="s">
        <v>24</v>
      </c>
      <c r="C690" s="9" t="s">
        <v>29</v>
      </c>
      <c r="D690" s="9" t="str">
        <f>"胡井龙"</f>
        <v>胡井龙</v>
      </c>
      <c r="E690" s="9" t="str">
        <f t="shared" si="115"/>
        <v>男</v>
      </c>
      <c r="F690" s="9" t="str">
        <f>"63992024042118045557687"</f>
        <v>63992024042118045557687</v>
      </c>
      <c r="G690" s="9" t="str">
        <f t="shared" si="114"/>
        <v>0212</v>
      </c>
      <c r="H690" s="9" t="s">
        <v>12</v>
      </c>
      <c r="I690" s="12"/>
    </row>
    <row r="691" spans="1:9" ht="30" customHeight="1">
      <c r="A691" s="8">
        <v>689</v>
      </c>
      <c r="B691" s="9" t="s">
        <v>24</v>
      </c>
      <c r="C691" s="9" t="s">
        <v>29</v>
      </c>
      <c r="D691" s="9" t="str">
        <f>"张克松"</f>
        <v>张克松</v>
      </c>
      <c r="E691" s="9" t="str">
        <f t="shared" si="115"/>
        <v>男</v>
      </c>
      <c r="F691" s="9" t="str">
        <f>"63992024042119003557751"</f>
        <v>63992024042119003557751</v>
      </c>
      <c r="G691" s="9" t="str">
        <f t="shared" si="114"/>
        <v>0212</v>
      </c>
      <c r="H691" s="9" t="s">
        <v>12</v>
      </c>
      <c r="I691" s="12"/>
    </row>
    <row r="692" spans="1:9" ht="30" customHeight="1">
      <c r="A692" s="8">
        <v>690</v>
      </c>
      <c r="B692" s="9" t="s">
        <v>24</v>
      </c>
      <c r="C692" s="9" t="s">
        <v>29</v>
      </c>
      <c r="D692" s="9" t="str">
        <f>"刘巡"</f>
        <v>刘巡</v>
      </c>
      <c r="E692" s="9" t="str">
        <f t="shared" si="115"/>
        <v>男</v>
      </c>
      <c r="F692" s="9" t="str">
        <f>"63992024042121012457887"</f>
        <v>63992024042121012457887</v>
      </c>
      <c r="G692" s="9" t="str">
        <f t="shared" si="114"/>
        <v>0212</v>
      </c>
      <c r="H692" s="9" t="s">
        <v>12</v>
      </c>
      <c r="I692" s="12"/>
    </row>
    <row r="693" spans="1:9" ht="30" customHeight="1">
      <c r="A693" s="8">
        <v>691</v>
      </c>
      <c r="B693" s="9" t="s">
        <v>24</v>
      </c>
      <c r="C693" s="9" t="s">
        <v>29</v>
      </c>
      <c r="D693" s="9" t="str">
        <f>"王鸿飞"</f>
        <v>王鸿飞</v>
      </c>
      <c r="E693" s="9" t="str">
        <f t="shared" si="115"/>
        <v>男</v>
      </c>
      <c r="F693" s="9" t="str">
        <f>"63992024042120522057880"</f>
        <v>63992024042120522057880</v>
      </c>
      <c r="G693" s="9" t="str">
        <f t="shared" si="114"/>
        <v>0212</v>
      </c>
      <c r="H693" s="9" t="s">
        <v>12</v>
      </c>
      <c r="I693" s="12"/>
    </row>
    <row r="694" spans="1:9" ht="30" customHeight="1">
      <c r="A694" s="8">
        <v>692</v>
      </c>
      <c r="B694" s="9" t="s">
        <v>24</v>
      </c>
      <c r="C694" s="9" t="s">
        <v>29</v>
      </c>
      <c r="D694" s="9" t="str">
        <f>"陈丽强"</f>
        <v>陈丽强</v>
      </c>
      <c r="E694" s="9" t="str">
        <f>"女"</f>
        <v>女</v>
      </c>
      <c r="F694" s="9" t="str">
        <f>"63992024042120020457815"</f>
        <v>63992024042120020457815</v>
      </c>
      <c r="G694" s="9" t="str">
        <f t="shared" si="114"/>
        <v>0212</v>
      </c>
      <c r="H694" s="9" t="s">
        <v>12</v>
      </c>
      <c r="I694" s="12"/>
    </row>
    <row r="695" spans="1:9" ht="30" customHeight="1">
      <c r="A695" s="8">
        <v>693</v>
      </c>
      <c r="B695" s="9" t="s">
        <v>24</v>
      </c>
      <c r="C695" s="9" t="s">
        <v>29</v>
      </c>
      <c r="D695" s="9" t="str">
        <f>"梁三弟"</f>
        <v>梁三弟</v>
      </c>
      <c r="E695" s="9" t="str">
        <f aca="true" t="shared" si="116" ref="E695:E703">"男"</f>
        <v>男</v>
      </c>
      <c r="F695" s="9" t="str">
        <f>"63992024042120235357838"</f>
        <v>63992024042120235357838</v>
      </c>
      <c r="G695" s="9" t="str">
        <f t="shared" si="114"/>
        <v>0212</v>
      </c>
      <c r="H695" s="9" t="s">
        <v>12</v>
      </c>
      <c r="I695" s="12"/>
    </row>
    <row r="696" spans="1:9" ht="30" customHeight="1">
      <c r="A696" s="8">
        <v>694</v>
      </c>
      <c r="B696" s="9" t="s">
        <v>24</v>
      </c>
      <c r="C696" s="9" t="s">
        <v>29</v>
      </c>
      <c r="D696" s="9" t="str">
        <f>"胡张瑞"</f>
        <v>胡张瑞</v>
      </c>
      <c r="E696" s="9" t="str">
        <f t="shared" si="116"/>
        <v>男</v>
      </c>
      <c r="F696" s="9" t="str">
        <f>"63992024042123133558062"</f>
        <v>63992024042123133558062</v>
      </c>
      <c r="G696" s="9" t="str">
        <f t="shared" si="114"/>
        <v>0212</v>
      </c>
      <c r="H696" s="9" t="s">
        <v>12</v>
      </c>
      <c r="I696" s="12"/>
    </row>
    <row r="697" spans="1:9" ht="30" customHeight="1">
      <c r="A697" s="8">
        <v>695</v>
      </c>
      <c r="B697" s="9" t="s">
        <v>24</v>
      </c>
      <c r="C697" s="9" t="s">
        <v>29</v>
      </c>
      <c r="D697" s="9" t="str">
        <f>"陈嘉健"</f>
        <v>陈嘉健</v>
      </c>
      <c r="E697" s="9" t="str">
        <f t="shared" si="116"/>
        <v>男</v>
      </c>
      <c r="F697" s="9" t="str">
        <f>"63992024042208381658486"</f>
        <v>63992024042208381658486</v>
      </c>
      <c r="G697" s="9" t="str">
        <f t="shared" si="114"/>
        <v>0212</v>
      </c>
      <c r="H697" s="9" t="s">
        <v>12</v>
      </c>
      <c r="I697" s="12"/>
    </row>
    <row r="698" spans="1:9" ht="30" customHeight="1">
      <c r="A698" s="8">
        <v>696</v>
      </c>
      <c r="B698" s="9" t="s">
        <v>24</v>
      </c>
      <c r="C698" s="9" t="s">
        <v>29</v>
      </c>
      <c r="D698" s="9" t="str">
        <f>"黄光学"</f>
        <v>黄光学</v>
      </c>
      <c r="E698" s="9" t="str">
        <f t="shared" si="116"/>
        <v>男</v>
      </c>
      <c r="F698" s="9" t="str">
        <f>"63992024042208445658552"</f>
        <v>63992024042208445658552</v>
      </c>
      <c r="G698" s="9" t="str">
        <f t="shared" si="114"/>
        <v>0212</v>
      </c>
      <c r="H698" s="9" t="s">
        <v>12</v>
      </c>
      <c r="I698" s="12"/>
    </row>
    <row r="699" spans="1:9" ht="30" customHeight="1">
      <c r="A699" s="8">
        <v>697</v>
      </c>
      <c r="B699" s="9" t="s">
        <v>24</v>
      </c>
      <c r="C699" s="9" t="s">
        <v>29</v>
      </c>
      <c r="D699" s="9" t="str">
        <f>"黎炳俊"</f>
        <v>黎炳俊</v>
      </c>
      <c r="E699" s="9" t="str">
        <f t="shared" si="116"/>
        <v>男</v>
      </c>
      <c r="F699" s="9" t="str">
        <f>"63992024042209054558832"</f>
        <v>63992024042209054558832</v>
      </c>
      <c r="G699" s="9" t="str">
        <f t="shared" si="114"/>
        <v>0212</v>
      </c>
      <c r="H699" s="9" t="s">
        <v>12</v>
      </c>
      <c r="I699" s="12"/>
    </row>
    <row r="700" spans="1:9" ht="30" customHeight="1">
      <c r="A700" s="8">
        <v>698</v>
      </c>
      <c r="B700" s="9" t="s">
        <v>24</v>
      </c>
      <c r="C700" s="9" t="s">
        <v>29</v>
      </c>
      <c r="D700" s="9" t="str">
        <f>"羊文龙"</f>
        <v>羊文龙</v>
      </c>
      <c r="E700" s="9" t="str">
        <f t="shared" si="116"/>
        <v>男</v>
      </c>
      <c r="F700" s="9" t="str">
        <f>"63992024042112315357185"</f>
        <v>63992024042112315357185</v>
      </c>
      <c r="G700" s="9" t="str">
        <f t="shared" si="114"/>
        <v>0212</v>
      </c>
      <c r="H700" s="9" t="s">
        <v>12</v>
      </c>
      <c r="I700" s="12"/>
    </row>
    <row r="701" spans="1:9" ht="30" customHeight="1">
      <c r="A701" s="8">
        <v>699</v>
      </c>
      <c r="B701" s="9" t="s">
        <v>24</v>
      </c>
      <c r="C701" s="9" t="s">
        <v>29</v>
      </c>
      <c r="D701" s="9" t="str">
        <f>"周王龙"</f>
        <v>周王龙</v>
      </c>
      <c r="E701" s="9" t="str">
        <f t="shared" si="116"/>
        <v>男</v>
      </c>
      <c r="F701" s="9" t="str">
        <f>"63992024042209361859366"</f>
        <v>63992024042209361859366</v>
      </c>
      <c r="G701" s="9" t="str">
        <f t="shared" si="114"/>
        <v>0212</v>
      </c>
      <c r="H701" s="9" t="s">
        <v>12</v>
      </c>
      <c r="I701" s="12"/>
    </row>
    <row r="702" spans="1:9" ht="30" customHeight="1">
      <c r="A702" s="8">
        <v>700</v>
      </c>
      <c r="B702" s="9" t="s">
        <v>24</v>
      </c>
      <c r="C702" s="9" t="s">
        <v>29</v>
      </c>
      <c r="D702" s="9" t="str">
        <f>"李元清"</f>
        <v>李元清</v>
      </c>
      <c r="E702" s="9" t="str">
        <f t="shared" si="116"/>
        <v>男</v>
      </c>
      <c r="F702" s="9" t="str">
        <f>"63992024042210273260059"</f>
        <v>63992024042210273260059</v>
      </c>
      <c r="G702" s="9" t="str">
        <f t="shared" si="114"/>
        <v>0212</v>
      </c>
      <c r="H702" s="9" t="s">
        <v>12</v>
      </c>
      <c r="I702" s="12"/>
    </row>
    <row r="703" spans="1:9" ht="30" customHeight="1">
      <c r="A703" s="8">
        <v>701</v>
      </c>
      <c r="B703" s="9" t="s">
        <v>24</v>
      </c>
      <c r="C703" s="9" t="s">
        <v>29</v>
      </c>
      <c r="D703" s="9" t="str">
        <f>"李经纪"</f>
        <v>李经纪</v>
      </c>
      <c r="E703" s="9" t="str">
        <f t="shared" si="116"/>
        <v>男</v>
      </c>
      <c r="F703" s="9" t="str">
        <f>"63992024042211025560496"</f>
        <v>63992024042211025560496</v>
      </c>
      <c r="G703" s="9" t="str">
        <f t="shared" si="114"/>
        <v>0212</v>
      </c>
      <c r="H703" s="9" t="s">
        <v>12</v>
      </c>
      <c r="I703" s="12"/>
    </row>
    <row r="704" spans="1:9" ht="30" customHeight="1">
      <c r="A704" s="8">
        <v>702</v>
      </c>
      <c r="B704" s="9" t="s">
        <v>24</v>
      </c>
      <c r="C704" s="9" t="s">
        <v>29</v>
      </c>
      <c r="D704" s="9" t="str">
        <f>"赵思宇"</f>
        <v>赵思宇</v>
      </c>
      <c r="E704" s="9" t="str">
        <f>"女"</f>
        <v>女</v>
      </c>
      <c r="F704" s="9" t="str">
        <f>"63992024041918260751670"</f>
        <v>63992024041918260751670</v>
      </c>
      <c r="G704" s="9" t="str">
        <f t="shared" si="114"/>
        <v>0212</v>
      </c>
      <c r="H704" s="9" t="s">
        <v>12</v>
      </c>
      <c r="I704" s="12"/>
    </row>
    <row r="705" spans="1:9" ht="30" customHeight="1">
      <c r="A705" s="8">
        <v>703</v>
      </c>
      <c r="B705" s="9" t="s">
        <v>24</v>
      </c>
      <c r="C705" s="9" t="s">
        <v>29</v>
      </c>
      <c r="D705" s="9" t="str">
        <f>"黄诚"</f>
        <v>黄诚</v>
      </c>
      <c r="E705" s="9" t="str">
        <f aca="true" t="shared" si="117" ref="E705:E709">"男"</f>
        <v>男</v>
      </c>
      <c r="F705" s="9" t="str">
        <f>"63992024042210185659956"</f>
        <v>63992024042210185659956</v>
      </c>
      <c r="G705" s="9" t="str">
        <f t="shared" si="114"/>
        <v>0212</v>
      </c>
      <c r="H705" s="9" t="s">
        <v>12</v>
      </c>
      <c r="I705" s="12"/>
    </row>
    <row r="706" spans="1:9" ht="30" customHeight="1">
      <c r="A706" s="8">
        <v>704</v>
      </c>
      <c r="B706" s="9" t="s">
        <v>24</v>
      </c>
      <c r="C706" s="9" t="s">
        <v>29</v>
      </c>
      <c r="D706" s="9" t="str">
        <f>"周逸"</f>
        <v>周逸</v>
      </c>
      <c r="E706" s="9" t="str">
        <f t="shared" si="117"/>
        <v>男</v>
      </c>
      <c r="F706" s="9" t="str">
        <f>"63992024042214282961961"</f>
        <v>63992024042214282961961</v>
      </c>
      <c r="G706" s="9" t="str">
        <f t="shared" si="114"/>
        <v>0212</v>
      </c>
      <c r="H706" s="9" t="s">
        <v>12</v>
      </c>
      <c r="I706" s="12"/>
    </row>
    <row r="707" spans="1:9" ht="30" customHeight="1">
      <c r="A707" s="8">
        <v>705</v>
      </c>
      <c r="B707" s="9" t="s">
        <v>24</v>
      </c>
      <c r="C707" s="9" t="s">
        <v>29</v>
      </c>
      <c r="D707" s="9" t="str">
        <f>"顾贺天"</f>
        <v>顾贺天</v>
      </c>
      <c r="E707" s="9" t="str">
        <f t="shared" si="117"/>
        <v>男</v>
      </c>
      <c r="F707" s="9" t="str">
        <f>"63992024042214171861895"</f>
        <v>63992024042214171861895</v>
      </c>
      <c r="G707" s="9" t="str">
        <f t="shared" si="114"/>
        <v>0212</v>
      </c>
      <c r="H707" s="9" t="s">
        <v>12</v>
      </c>
      <c r="I707" s="12"/>
    </row>
    <row r="708" spans="1:9" ht="30" customHeight="1">
      <c r="A708" s="8">
        <v>706</v>
      </c>
      <c r="B708" s="9" t="s">
        <v>24</v>
      </c>
      <c r="C708" s="9" t="s">
        <v>29</v>
      </c>
      <c r="D708" s="9" t="str">
        <f>"陈崇明"</f>
        <v>陈崇明</v>
      </c>
      <c r="E708" s="9" t="str">
        <f t="shared" si="117"/>
        <v>男</v>
      </c>
      <c r="F708" s="9" t="str">
        <f>"63992024042215594365877"</f>
        <v>63992024042215594365877</v>
      </c>
      <c r="G708" s="9" t="str">
        <f t="shared" si="114"/>
        <v>0212</v>
      </c>
      <c r="H708" s="9" t="s">
        <v>12</v>
      </c>
      <c r="I708" s="12"/>
    </row>
    <row r="709" spans="1:9" ht="30" customHeight="1">
      <c r="A709" s="8">
        <v>707</v>
      </c>
      <c r="B709" s="9" t="s">
        <v>24</v>
      </c>
      <c r="C709" s="9" t="s">
        <v>29</v>
      </c>
      <c r="D709" s="9" t="str">
        <f>"郭永君"</f>
        <v>郭永君</v>
      </c>
      <c r="E709" s="9" t="str">
        <f t="shared" si="117"/>
        <v>男</v>
      </c>
      <c r="F709" s="9" t="str">
        <f>"63992024042111132857059"</f>
        <v>63992024042111132857059</v>
      </c>
      <c r="G709" s="9" t="str">
        <f t="shared" si="114"/>
        <v>0212</v>
      </c>
      <c r="H709" s="9" t="s">
        <v>12</v>
      </c>
      <c r="I709" s="12"/>
    </row>
    <row r="710" spans="1:9" ht="30" customHeight="1">
      <c r="A710" s="8">
        <v>708</v>
      </c>
      <c r="B710" s="9" t="s">
        <v>24</v>
      </c>
      <c r="C710" s="9" t="s">
        <v>29</v>
      </c>
      <c r="D710" s="9" t="str">
        <f>"王艺宇"</f>
        <v>王艺宇</v>
      </c>
      <c r="E710" s="9" t="str">
        <f>"女"</f>
        <v>女</v>
      </c>
      <c r="F710" s="9" t="str">
        <f>"63992024042217151766449"</f>
        <v>63992024042217151766449</v>
      </c>
      <c r="G710" s="9" t="str">
        <f t="shared" si="114"/>
        <v>0212</v>
      </c>
      <c r="H710" s="9" t="s">
        <v>12</v>
      </c>
      <c r="I710" s="12"/>
    </row>
    <row r="711" spans="1:9" ht="30" customHeight="1">
      <c r="A711" s="8">
        <v>709</v>
      </c>
      <c r="B711" s="9" t="s">
        <v>24</v>
      </c>
      <c r="C711" s="9" t="s">
        <v>29</v>
      </c>
      <c r="D711" s="9" t="str">
        <f>"刘佳昂"</f>
        <v>刘佳昂</v>
      </c>
      <c r="E711" s="9" t="str">
        <f aca="true" t="shared" si="118" ref="E711:E714">"男"</f>
        <v>男</v>
      </c>
      <c r="F711" s="9" t="str">
        <f>"63992024042217504466722"</f>
        <v>63992024042217504466722</v>
      </c>
      <c r="G711" s="9" t="str">
        <f t="shared" si="114"/>
        <v>0212</v>
      </c>
      <c r="H711" s="9" t="s">
        <v>12</v>
      </c>
      <c r="I711" s="12"/>
    </row>
    <row r="712" spans="1:9" ht="30" customHeight="1">
      <c r="A712" s="8">
        <v>710</v>
      </c>
      <c r="B712" s="9" t="s">
        <v>24</v>
      </c>
      <c r="C712" s="9" t="s">
        <v>29</v>
      </c>
      <c r="D712" s="9" t="str">
        <f>"段晨晨"</f>
        <v>段晨晨</v>
      </c>
      <c r="E712" s="9" t="str">
        <f t="shared" si="118"/>
        <v>男</v>
      </c>
      <c r="F712" s="9" t="str">
        <f>"63992024042119320257781"</f>
        <v>63992024042119320257781</v>
      </c>
      <c r="G712" s="9" t="str">
        <f t="shared" si="114"/>
        <v>0212</v>
      </c>
      <c r="H712" s="9" t="s">
        <v>12</v>
      </c>
      <c r="I712" s="12"/>
    </row>
    <row r="713" spans="1:9" ht="30" customHeight="1">
      <c r="A713" s="8">
        <v>711</v>
      </c>
      <c r="B713" s="9" t="s">
        <v>24</v>
      </c>
      <c r="C713" s="9" t="s">
        <v>29</v>
      </c>
      <c r="D713" s="9" t="str">
        <f>"李运睿"</f>
        <v>李运睿</v>
      </c>
      <c r="E713" s="9" t="str">
        <f t="shared" si="118"/>
        <v>男</v>
      </c>
      <c r="F713" s="9" t="str">
        <f>"63992024042119362257785"</f>
        <v>63992024042119362257785</v>
      </c>
      <c r="G713" s="9" t="str">
        <f t="shared" si="114"/>
        <v>0212</v>
      </c>
      <c r="H713" s="9" t="s">
        <v>12</v>
      </c>
      <c r="I713" s="12"/>
    </row>
    <row r="714" spans="1:9" ht="30" customHeight="1">
      <c r="A714" s="8">
        <v>712</v>
      </c>
      <c r="B714" s="9" t="s">
        <v>24</v>
      </c>
      <c r="C714" s="9" t="s">
        <v>29</v>
      </c>
      <c r="D714" s="9" t="str">
        <f>"徐杰"</f>
        <v>徐杰</v>
      </c>
      <c r="E714" s="9" t="str">
        <f t="shared" si="118"/>
        <v>男</v>
      </c>
      <c r="F714" s="9" t="str">
        <f>"63992024042220295167623"</f>
        <v>63992024042220295167623</v>
      </c>
      <c r="G714" s="9" t="str">
        <f t="shared" si="114"/>
        <v>0212</v>
      </c>
      <c r="H714" s="9" t="s">
        <v>12</v>
      </c>
      <c r="I714" s="12"/>
    </row>
    <row r="715" spans="1:9" ht="30" customHeight="1">
      <c r="A715" s="8">
        <v>713</v>
      </c>
      <c r="B715" s="9" t="s">
        <v>24</v>
      </c>
      <c r="C715" s="9" t="s">
        <v>29</v>
      </c>
      <c r="D715" s="9" t="str">
        <f>"陈彩影"</f>
        <v>陈彩影</v>
      </c>
      <c r="E715" s="9" t="str">
        <f aca="true" t="shared" si="119" ref="E715:E719">"女"</f>
        <v>女</v>
      </c>
      <c r="F715" s="9" t="str">
        <f>"63992024042221344868012"</f>
        <v>63992024042221344868012</v>
      </c>
      <c r="G715" s="9" t="str">
        <f t="shared" si="114"/>
        <v>0212</v>
      </c>
      <c r="H715" s="9" t="s">
        <v>12</v>
      </c>
      <c r="I715" s="12"/>
    </row>
    <row r="716" spans="1:9" ht="30" customHeight="1">
      <c r="A716" s="8">
        <v>714</v>
      </c>
      <c r="B716" s="9" t="s">
        <v>24</v>
      </c>
      <c r="C716" s="9" t="s">
        <v>29</v>
      </c>
      <c r="D716" s="9" t="str">
        <f>"陈瑞阳"</f>
        <v>陈瑞阳</v>
      </c>
      <c r="E716" s="9" t="str">
        <f aca="true" t="shared" si="120" ref="E716:E722">"男"</f>
        <v>男</v>
      </c>
      <c r="F716" s="9" t="str">
        <f>"63992024042012513852668"</f>
        <v>63992024042012513852668</v>
      </c>
      <c r="G716" s="9" t="str">
        <f t="shared" si="114"/>
        <v>0212</v>
      </c>
      <c r="H716" s="9" t="s">
        <v>12</v>
      </c>
      <c r="I716" s="12"/>
    </row>
    <row r="717" spans="1:9" ht="30" customHeight="1">
      <c r="A717" s="8">
        <v>715</v>
      </c>
      <c r="B717" s="9" t="s">
        <v>24</v>
      </c>
      <c r="C717" s="9" t="s">
        <v>29</v>
      </c>
      <c r="D717" s="9" t="str">
        <f>"康同同"</f>
        <v>康同同</v>
      </c>
      <c r="E717" s="9" t="str">
        <f t="shared" si="119"/>
        <v>女</v>
      </c>
      <c r="F717" s="9" t="str">
        <f>"63992024042222210468279"</f>
        <v>63992024042222210468279</v>
      </c>
      <c r="G717" s="9" t="str">
        <f t="shared" si="114"/>
        <v>0212</v>
      </c>
      <c r="H717" s="9" t="s">
        <v>12</v>
      </c>
      <c r="I717" s="12"/>
    </row>
    <row r="718" spans="1:9" ht="30" customHeight="1">
      <c r="A718" s="8">
        <v>716</v>
      </c>
      <c r="B718" s="9" t="s">
        <v>24</v>
      </c>
      <c r="C718" s="9" t="s">
        <v>29</v>
      </c>
      <c r="D718" s="9" t="str">
        <f>"姜永强"</f>
        <v>姜永强</v>
      </c>
      <c r="E718" s="9" t="str">
        <f t="shared" si="120"/>
        <v>男</v>
      </c>
      <c r="F718" s="9" t="str">
        <f>"63992024042222575068431"</f>
        <v>63992024042222575068431</v>
      </c>
      <c r="G718" s="9" t="str">
        <f t="shared" si="114"/>
        <v>0212</v>
      </c>
      <c r="H718" s="9" t="s">
        <v>12</v>
      </c>
      <c r="I718" s="12"/>
    </row>
    <row r="719" spans="1:9" ht="30" customHeight="1">
      <c r="A719" s="8">
        <v>717</v>
      </c>
      <c r="B719" s="9" t="s">
        <v>24</v>
      </c>
      <c r="C719" s="9" t="s">
        <v>29</v>
      </c>
      <c r="D719" s="9" t="str">
        <f>"吴晶晶"</f>
        <v>吴晶晶</v>
      </c>
      <c r="E719" s="9" t="str">
        <f t="shared" si="119"/>
        <v>女</v>
      </c>
      <c r="F719" s="9" t="str">
        <f>"63992024042222470068387"</f>
        <v>63992024042222470068387</v>
      </c>
      <c r="G719" s="9" t="str">
        <f t="shared" si="114"/>
        <v>0212</v>
      </c>
      <c r="H719" s="9" t="s">
        <v>12</v>
      </c>
      <c r="I719" s="12"/>
    </row>
    <row r="720" spans="1:9" ht="30" customHeight="1">
      <c r="A720" s="8">
        <v>718</v>
      </c>
      <c r="B720" s="9" t="s">
        <v>24</v>
      </c>
      <c r="C720" s="9" t="s">
        <v>29</v>
      </c>
      <c r="D720" s="9" t="str">
        <f>"华济源"</f>
        <v>华济源</v>
      </c>
      <c r="E720" s="9" t="str">
        <f t="shared" si="120"/>
        <v>男</v>
      </c>
      <c r="F720" s="9" t="str">
        <f>"63992024042300142568578"</f>
        <v>63992024042300142568578</v>
      </c>
      <c r="G720" s="9" t="str">
        <f t="shared" si="114"/>
        <v>0212</v>
      </c>
      <c r="H720" s="9" t="s">
        <v>12</v>
      </c>
      <c r="I720" s="12"/>
    </row>
    <row r="721" spans="1:9" ht="30" customHeight="1">
      <c r="A721" s="8">
        <v>719</v>
      </c>
      <c r="B721" s="9" t="s">
        <v>24</v>
      </c>
      <c r="C721" s="9" t="s">
        <v>29</v>
      </c>
      <c r="D721" s="9" t="str">
        <f>"赖华周"</f>
        <v>赖华周</v>
      </c>
      <c r="E721" s="9" t="str">
        <f t="shared" si="120"/>
        <v>男</v>
      </c>
      <c r="F721" s="9" t="str">
        <f>"63992024042308162568797"</f>
        <v>63992024042308162568797</v>
      </c>
      <c r="G721" s="9" t="str">
        <f t="shared" si="114"/>
        <v>0212</v>
      </c>
      <c r="H721" s="9" t="s">
        <v>12</v>
      </c>
      <c r="I721" s="12"/>
    </row>
    <row r="722" spans="1:9" ht="30" customHeight="1">
      <c r="A722" s="8">
        <v>720</v>
      </c>
      <c r="B722" s="9" t="s">
        <v>24</v>
      </c>
      <c r="C722" s="9" t="s">
        <v>29</v>
      </c>
      <c r="D722" s="9" t="str">
        <f>"郭冲"</f>
        <v>郭冲</v>
      </c>
      <c r="E722" s="9" t="str">
        <f t="shared" si="120"/>
        <v>男</v>
      </c>
      <c r="F722" s="9" t="str">
        <f>"63992024042308444668985"</f>
        <v>63992024042308444668985</v>
      </c>
      <c r="G722" s="9" t="str">
        <f t="shared" si="114"/>
        <v>0212</v>
      </c>
      <c r="H722" s="9" t="s">
        <v>12</v>
      </c>
      <c r="I722" s="12"/>
    </row>
    <row r="723" spans="1:9" ht="30" customHeight="1">
      <c r="A723" s="8">
        <v>721</v>
      </c>
      <c r="B723" s="9" t="s">
        <v>24</v>
      </c>
      <c r="C723" s="9" t="s">
        <v>29</v>
      </c>
      <c r="D723" s="9" t="str">
        <f>"阳柳清"</f>
        <v>阳柳清</v>
      </c>
      <c r="E723" s="9" t="str">
        <f>"女"</f>
        <v>女</v>
      </c>
      <c r="F723" s="9" t="str">
        <f>"63992024042308394168951"</f>
        <v>63992024042308394168951</v>
      </c>
      <c r="G723" s="9" t="str">
        <f t="shared" si="114"/>
        <v>0212</v>
      </c>
      <c r="H723" s="9" t="s">
        <v>12</v>
      </c>
      <c r="I723" s="12"/>
    </row>
    <row r="724" spans="1:9" ht="30" customHeight="1">
      <c r="A724" s="8">
        <v>722</v>
      </c>
      <c r="B724" s="9" t="s">
        <v>24</v>
      </c>
      <c r="C724" s="9" t="s">
        <v>29</v>
      </c>
      <c r="D724" s="9" t="str">
        <f>"陈俊宏"</f>
        <v>陈俊宏</v>
      </c>
      <c r="E724" s="9" t="str">
        <f aca="true" t="shared" si="121" ref="E724:E732">"男"</f>
        <v>男</v>
      </c>
      <c r="F724" s="9" t="str">
        <f>"63992024042309405569971"</f>
        <v>63992024042309405569971</v>
      </c>
      <c r="G724" s="9" t="str">
        <f t="shared" si="114"/>
        <v>0212</v>
      </c>
      <c r="H724" s="9" t="s">
        <v>12</v>
      </c>
      <c r="I724" s="12"/>
    </row>
    <row r="725" spans="1:9" ht="30" customHeight="1">
      <c r="A725" s="8">
        <v>723</v>
      </c>
      <c r="B725" s="9" t="s">
        <v>24</v>
      </c>
      <c r="C725" s="9" t="s">
        <v>29</v>
      </c>
      <c r="D725" s="9" t="str">
        <f>"冉夏欢"</f>
        <v>冉夏欢</v>
      </c>
      <c r="E725" s="9" t="str">
        <f>"女"</f>
        <v>女</v>
      </c>
      <c r="F725" s="9" t="str">
        <f>"63992024042310012570352"</f>
        <v>63992024042310012570352</v>
      </c>
      <c r="G725" s="9" t="str">
        <f t="shared" si="114"/>
        <v>0212</v>
      </c>
      <c r="H725" s="9" t="s">
        <v>12</v>
      </c>
      <c r="I725" s="12"/>
    </row>
    <row r="726" spans="1:9" ht="30" customHeight="1">
      <c r="A726" s="8">
        <v>724</v>
      </c>
      <c r="B726" s="9" t="s">
        <v>24</v>
      </c>
      <c r="C726" s="9" t="s">
        <v>29</v>
      </c>
      <c r="D726" s="9" t="str">
        <f>"陈政毅"</f>
        <v>陈政毅</v>
      </c>
      <c r="E726" s="9" t="str">
        <f t="shared" si="121"/>
        <v>男</v>
      </c>
      <c r="F726" s="9" t="str">
        <f>"63992024042311305672317"</f>
        <v>63992024042311305672317</v>
      </c>
      <c r="G726" s="9" t="str">
        <f t="shared" si="114"/>
        <v>0212</v>
      </c>
      <c r="H726" s="9" t="s">
        <v>12</v>
      </c>
      <c r="I726" s="12"/>
    </row>
    <row r="727" spans="1:9" ht="30" customHeight="1">
      <c r="A727" s="8">
        <v>725</v>
      </c>
      <c r="B727" s="9" t="s">
        <v>24</v>
      </c>
      <c r="C727" s="9" t="s">
        <v>29</v>
      </c>
      <c r="D727" s="9" t="str">
        <f>"黄镜澄"</f>
        <v>黄镜澄</v>
      </c>
      <c r="E727" s="9" t="str">
        <f t="shared" si="121"/>
        <v>男</v>
      </c>
      <c r="F727" s="9" t="str">
        <f>"63992024042311490772823"</f>
        <v>63992024042311490772823</v>
      </c>
      <c r="G727" s="9" t="str">
        <f t="shared" si="114"/>
        <v>0212</v>
      </c>
      <c r="H727" s="9" t="s">
        <v>12</v>
      </c>
      <c r="I727" s="12"/>
    </row>
    <row r="728" spans="1:9" ht="30" customHeight="1">
      <c r="A728" s="8">
        <v>726</v>
      </c>
      <c r="B728" s="9" t="s">
        <v>24</v>
      </c>
      <c r="C728" s="9" t="s">
        <v>29</v>
      </c>
      <c r="D728" s="9" t="str">
        <f>"王品科"</f>
        <v>王品科</v>
      </c>
      <c r="E728" s="9" t="str">
        <f t="shared" si="121"/>
        <v>男</v>
      </c>
      <c r="F728" s="9" t="str">
        <f>"63992024042219133967178"</f>
        <v>63992024042219133967178</v>
      </c>
      <c r="G728" s="9" t="str">
        <f aca="true" t="shared" si="122" ref="G728:G789">"0212"</f>
        <v>0212</v>
      </c>
      <c r="H728" s="9" t="s">
        <v>12</v>
      </c>
      <c r="I728" s="12"/>
    </row>
    <row r="729" spans="1:9" ht="30" customHeight="1">
      <c r="A729" s="8">
        <v>727</v>
      </c>
      <c r="B729" s="9" t="s">
        <v>24</v>
      </c>
      <c r="C729" s="9" t="s">
        <v>29</v>
      </c>
      <c r="D729" s="9" t="str">
        <f>"潘巨彪"</f>
        <v>潘巨彪</v>
      </c>
      <c r="E729" s="9" t="str">
        <f t="shared" si="121"/>
        <v>男</v>
      </c>
      <c r="F729" s="9" t="str">
        <f>"63992024042109520856931"</f>
        <v>63992024042109520856931</v>
      </c>
      <c r="G729" s="9" t="str">
        <f t="shared" si="122"/>
        <v>0212</v>
      </c>
      <c r="H729" s="9" t="s">
        <v>12</v>
      </c>
      <c r="I729" s="12"/>
    </row>
    <row r="730" spans="1:9" ht="30" customHeight="1">
      <c r="A730" s="8">
        <v>728</v>
      </c>
      <c r="B730" s="9" t="s">
        <v>24</v>
      </c>
      <c r="C730" s="9" t="s">
        <v>29</v>
      </c>
      <c r="D730" s="9" t="str">
        <f>"刘晟"</f>
        <v>刘晟</v>
      </c>
      <c r="E730" s="9" t="str">
        <f t="shared" si="121"/>
        <v>男</v>
      </c>
      <c r="F730" s="9" t="str">
        <f>"63992024042315061874762"</f>
        <v>63992024042315061874762</v>
      </c>
      <c r="G730" s="9" t="str">
        <f t="shared" si="122"/>
        <v>0212</v>
      </c>
      <c r="H730" s="9" t="s">
        <v>12</v>
      </c>
      <c r="I730" s="12"/>
    </row>
    <row r="731" spans="1:9" ht="30" customHeight="1">
      <c r="A731" s="8">
        <v>729</v>
      </c>
      <c r="B731" s="9" t="s">
        <v>24</v>
      </c>
      <c r="C731" s="9" t="s">
        <v>29</v>
      </c>
      <c r="D731" s="9" t="str">
        <f>"杨洋"</f>
        <v>杨洋</v>
      </c>
      <c r="E731" s="9" t="str">
        <f t="shared" si="121"/>
        <v>男</v>
      </c>
      <c r="F731" s="9" t="str">
        <f>"63992024042316123375522"</f>
        <v>63992024042316123375522</v>
      </c>
      <c r="G731" s="9" t="str">
        <f t="shared" si="122"/>
        <v>0212</v>
      </c>
      <c r="H731" s="9" t="s">
        <v>12</v>
      </c>
      <c r="I731" s="12"/>
    </row>
    <row r="732" spans="1:9" ht="30" customHeight="1">
      <c r="A732" s="8">
        <v>730</v>
      </c>
      <c r="B732" s="9" t="s">
        <v>24</v>
      </c>
      <c r="C732" s="9" t="s">
        <v>29</v>
      </c>
      <c r="D732" s="9" t="str">
        <f>"柯洋"</f>
        <v>柯洋</v>
      </c>
      <c r="E732" s="9" t="str">
        <f t="shared" si="121"/>
        <v>男</v>
      </c>
      <c r="F732" s="9" t="str">
        <f>"63992024042316314375725"</f>
        <v>63992024042316314375725</v>
      </c>
      <c r="G732" s="9" t="str">
        <f t="shared" si="122"/>
        <v>0212</v>
      </c>
      <c r="H732" s="9" t="s">
        <v>12</v>
      </c>
      <c r="I732" s="12"/>
    </row>
    <row r="733" spans="1:9" ht="30" customHeight="1">
      <c r="A733" s="8">
        <v>731</v>
      </c>
      <c r="B733" s="9" t="s">
        <v>24</v>
      </c>
      <c r="C733" s="9" t="s">
        <v>29</v>
      </c>
      <c r="D733" s="9" t="str">
        <f>"刘诗琴"</f>
        <v>刘诗琴</v>
      </c>
      <c r="E733" s="9" t="str">
        <f>"女"</f>
        <v>女</v>
      </c>
      <c r="F733" s="9" t="str">
        <f>"63992024042317022976804"</f>
        <v>63992024042317022976804</v>
      </c>
      <c r="G733" s="9" t="str">
        <f t="shared" si="122"/>
        <v>0212</v>
      </c>
      <c r="H733" s="9" t="s">
        <v>12</v>
      </c>
      <c r="I733" s="12"/>
    </row>
    <row r="734" spans="1:9" ht="30" customHeight="1">
      <c r="A734" s="8">
        <v>732</v>
      </c>
      <c r="B734" s="9" t="s">
        <v>24</v>
      </c>
      <c r="C734" s="9" t="s">
        <v>29</v>
      </c>
      <c r="D734" s="9" t="str">
        <f>"张华卓"</f>
        <v>张华卓</v>
      </c>
      <c r="E734" s="9" t="str">
        <f aca="true" t="shared" si="123" ref="E734:E736">"男"</f>
        <v>男</v>
      </c>
      <c r="F734" s="9" t="str">
        <f>"63992024042316110475513"</f>
        <v>63992024042316110475513</v>
      </c>
      <c r="G734" s="9" t="str">
        <f t="shared" si="122"/>
        <v>0212</v>
      </c>
      <c r="H734" s="9" t="s">
        <v>12</v>
      </c>
      <c r="I734" s="12"/>
    </row>
    <row r="735" spans="1:9" ht="30" customHeight="1">
      <c r="A735" s="8">
        <v>733</v>
      </c>
      <c r="B735" s="9" t="s">
        <v>24</v>
      </c>
      <c r="C735" s="9" t="s">
        <v>29</v>
      </c>
      <c r="D735" s="9" t="str">
        <f>"王永文"</f>
        <v>王永文</v>
      </c>
      <c r="E735" s="9" t="str">
        <f t="shared" si="123"/>
        <v>男</v>
      </c>
      <c r="F735" s="9" t="str">
        <f>"63992024042317222277246"</f>
        <v>63992024042317222277246</v>
      </c>
      <c r="G735" s="9" t="str">
        <f t="shared" si="122"/>
        <v>0212</v>
      </c>
      <c r="H735" s="9" t="s">
        <v>12</v>
      </c>
      <c r="I735" s="12"/>
    </row>
    <row r="736" spans="1:9" ht="30" customHeight="1">
      <c r="A736" s="8">
        <v>734</v>
      </c>
      <c r="B736" s="9" t="s">
        <v>24</v>
      </c>
      <c r="C736" s="9" t="s">
        <v>29</v>
      </c>
      <c r="D736" s="9" t="str">
        <f>"何贤恒"</f>
        <v>何贤恒</v>
      </c>
      <c r="E736" s="9" t="str">
        <f t="shared" si="123"/>
        <v>男</v>
      </c>
      <c r="F736" s="9" t="str">
        <f>"63992024042318343777771"</f>
        <v>63992024042318343777771</v>
      </c>
      <c r="G736" s="9" t="str">
        <f t="shared" si="122"/>
        <v>0212</v>
      </c>
      <c r="H736" s="9" t="s">
        <v>12</v>
      </c>
      <c r="I736" s="12"/>
    </row>
    <row r="737" spans="1:9" ht="30" customHeight="1">
      <c r="A737" s="8">
        <v>735</v>
      </c>
      <c r="B737" s="9" t="s">
        <v>24</v>
      </c>
      <c r="C737" s="9" t="s">
        <v>29</v>
      </c>
      <c r="D737" s="9" t="str">
        <f>"林晓慧"</f>
        <v>林晓慧</v>
      </c>
      <c r="E737" s="9" t="str">
        <f>"女"</f>
        <v>女</v>
      </c>
      <c r="F737" s="9" t="str">
        <f>"63992024042219451667365"</f>
        <v>63992024042219451667365</v>
      </c>
      <c r="G737" s="9" t="str">
        <f t="shared" si="122"/>
        <v>0212</v>
      </c>
      <c r="H737" s="9" t="s">
        <v>12</v>
      </c>
      <c r="I737" s="12"/>
    </row>
    <row r="738" spans="1:9" ht="30" customHeight="1">
      <c r="A738" s="8">
        <v>736</v>
      </c>
      <c r="B738" s="9" t="s">
        <v>24</v>
      </c>
      <c r="C738" s="9" t="s">
        <v>29</v>
      </c>
      <c r="D738" s="9" t="str">
        <f>"陆精"</f>
        <v>陆精</v>
      </c>
      <c r="E738" s="9" t="str">
        <f aca="true" t="shared" si="124" ref="E738:E741">"男"</f>
        <v>男</v>
      </c>
      <c r="F738" s="9" t="str">
        <f>"63992024042320253878593"</f>
        <v>63992024042320253878593</v>
      </c>
      <c r="G738" s="9" t="str">
        <f t="shared" si="122"/>
        <v>0212</v>
      </c>
      <c r="H738" s="9" t="s">
        <v>12</v>
      </c>
      <c r="I738" s="12"/>
    </row>
    <row r="739" spans="1:9" ht="30" customHeight="1">
      <c r="A739" s="8">
        <v>737</v>
      </c>
      <c r="B739" s="9" t="s">
        <v>24</v>
      </c>
      <c r="C739" s="9" t="s">
        <v>29</v>
      </c>
      <c r="D739" s="9" t="str">
        <f>"高泽琼"</f>
        <v>高泽琼</v>
      </c>
      <c r="E739" s="9" t="str">
        <f t="shared" si="124"/>
        <v>男</v>
      </c>
      <c r="F739" s="9" t="str">
        <f>"63992024042323540680148"</f>
        <v>63992024042323540680148</v>
      </c>
      <c r="G739" s="9" t="str">
        <f t="shared" si="122"/>
        <v>0212</v>
      </c>
      <c r="H739" s="9" t="s">
        <v>12</v>
      </c>
      <c r="I739" s="12"/>
    </row>
    <row r="740" spans="1:9" ht="30" customHeight="1">
      <c r="A740" s="8">
        <v>738</v>
      </c>
      <c r="B740" s="9" t="s">
        <v>24</v>
      </c>
      <c r="C740" s="9" t="s">
        <v>29</v>
      </c>
      <c r="D740" s="9" t="str">
        <f>"王先清"</f>
        <v>王先清</v>
      </c>
      <c r="E740" s="9" t="str">
        <f t="shared" si="124"/>
        <v>男</v>
      </c>
      <c r="F740" s="9" t="str">
        <f>"63992024042400480380264"</f>
        <v>63992024042400480380264</v>
      </c>
      <c r="G740" s="9" t="str">
        <f t="shared" si="122"/>
        <v>0212</v>
      </c>
      <c r="H740" s="9" t="s">
        <v>12</v>
      </c>
      <c r="I740" s="12"/>
    </row>
    <row r="741" spans="1:9" ht="30" customHeight="1">
      <c r="A741" s="8">
        <v>739</v>
      </c>
      <c r="B741" s="9" t="s">
        <v>24</v>
      </c>
      <c r="C741" s="9" t="s">
        <v>29</v>
      </c>
      <c r="D741" s="9" t="str">
        <f>"李辉"</f>
        <v>李辉</v>
      </c>
      <c r="E741" s="9" t="str">
        <f t="shared" si="124"/>
        <v>男</v>
      </c>
      <c r="F741" s="9" t="str">
        <f>"63992024042314345074388"</f>
        <v>63992024042314345074388</v>
      </c>
      <c r="G741" s="9" t="str">
        <f t="shared" si="122"/>
        <v>0212</v>
      </c>
      <c r="H741" s="9" t="s">
        <v>12</v>
      </c>
      <c r="I741" s="12"/>
    </row>
    <row r="742" spans="1:9" ht="30" customHeight="1">
      <c r="A742" s="8">
        <v>740</v>
      </c>
      <c r="B742" s="9" t="s">
        <v>24</v>
      </c>
      <c r="C742" s="9" t="s">
        <v>29</v>
      </c>
      <c r="D742" s="9" t="str">
        <f>"钱晓乐"</f>
        <v>钱晓乐</v>
      </c>
      <c r="E742" s="9" t="str">
        <f>"女"</f>
        <v>女</v>
      </c>
      <c r="F742" s="9" t="str">
        <f>"63992024042409060482889"</f>
        <v>63992024042409060482889</v>
      </c>
      <c r="G742" s="9" t="str">
        <f t="shared" si="122"/>
        <v>0212</v>
      </c>
      <c r="H742" s="9" t="s">
        <v>12</v>
      </c>
      <c r="I742" s="12"/>
    </row>
    <row r="743" spans="1:9" ht="30" customHeight="1">
      <c r="A743" s="8">
        <v>741</v>
      </c>
      <c r="B743" s="9" t="s">
        <v>24</v>
      </c>
      <c r="C743" s="9" t="s">
        <v>29</v>
      </c>
      <c r="D743" s="9" t="str">
        <f>"梁其乐"</f>
        <v>梁其乐</v>
      </c>
      <c r="E743" s="9" t="str">
        <f aca="true" t="shared" si="125" ref="E743:E754">"男"</f>
        <v>男</v>
      </c>
      <c r="F743" s="9" t="str">
        <f>"63992024042317504077460"</f>
        <v>63992024042317504077460</v>
      </c>
      <c r="G743" s="9" t="str">
        <f t="shared" si="122"/>
        <v>0212</v>
      </c>
      <c r="H743" s="9" t="s">
        <v>12</v>
      </c>
      <c r="I743" s="12"/>
    </row>
    <row r="744" spans="1:9" ht="30" customHeight="1">
      <c r="A744" s="8">
        <v>742</v>
      </c>
      <c r="B744" s="9" t="s">
        <v>24</v>
      </c>
      <c r="C744" s="9" t="s">
        <v>29</v>
      </c>
      <c r="D744" s="9" t="str">
        <f>"钟升"</f>
        <v>钟升</v>
      </c>
      <c r="E744" s="9" t="str">
        <f t="shared" si="125"/>
        <v>男</v>
      </c>
      <c r="F744" s="9" t="str">
        <f>"63992024042412384187854"</f>
        <v>63992024042412384187854</v>
      </c>
      <c r="G744" s="9" t="str">
        <f t="shared" si="122"/>
        <v>0212</v>
      </c>
      <c r="H744" s="9" t="s">
        <v>12</v>
      </c>
      <c r="I744" s="12"/>
    </row>
    <row r="745" spans="1:9" ht="30" customHeight="1">
      <c r="A745" s="8">
        <v>743</v>
      </c>
      <c r="B745" s="9" t="s">
        <v>24</v>
      </c>
      <c r="C745" s="9" t="s">
        <v>29</v>
      </c>
      <c r="D745" s="9" t="str">
        <f>"欧哲彬"</f>
        <v>欧哲彬</v>
      </c>
      <c r="E745" s="9" t="str">
        <f t="shared" si="125"/>
        <v>男</v>
      </c>
      <c r="F745" s="9" t="str">
        <f>"63992024042415291389768"</f>
        <v>63992024042415291389768</v>
      </c>
      <c r="G745" s="9" t="str">
        <f t="shared" si="122"/>
        <v>0212</v>
      </c>
      <c r="H745" s="9" t="s">
        <v>12</v>
      </c>
      <c r="I745" s="12"/>
    </row>
    <row r="746" spans="1:9" ht="30" customHeight="1">
      <c r="A746" s="8">
        <v>744</v>
      </c>
      <c r="B746" s="9" t="s">
        <v>24</v>
      </c>
      <c r="C746" s="9" t="s">
        <v>29</v>
      </c>
      <c r="D746" s="9" t="str">
        <f>"张振业"</f>
        <v>张振业</v>
      </c>
      <c r="E746" s="9" t="str">
        <f t="shared" si="125"/>
        <v>男</v>
      </c>
      <c r="F746" s="9" t="str">
        <f>"63992024042416160990601"</f>
        <v>63992024042416160990601</v>
      </c>
      <c r="G746" s="9" t="str">
        <f t="shared" si="122"/>
        <v>0212</v>
      </c>
      <c r="H746" s="9" t="s">
        <v>12</v>
      </c>
      <c r="I746" s="12"/>
    </row>
    <row r="747" spans="1:9" ht="30" customHeight="1">
      <c r="A747" s="8">
        <v>745</v>
      </c>
      <c r="B747" s="9" t="s">
        <v>24</v>
      </c>
      <c r="C747" s="9" t="s">
        <v>29</v>
      </c>
      <c r="D747" s="9" t="str">
        <f>"符大树"</f>
        <v>符大树</v>
      </c>
      <c r="E747" s="9" t="str">
        <f t="shared" si="125"/>
        <v>男</v>
      </c>
      <c r="F747" s="9" t="str">
        <f>"63992024042418305791943"</f>
        <v>63992024042418305791943</v>
      </c>
      <c r="G747" s="9" t="str">
        <f t="shared" si="122"/>
        <v>0212</v>
      </c>
      <c r="H747" s="9" t="s">
        <v>12</v>
      </c>
      <c r="I747" s="12"/>
    </row>
    <row r="748" spans="1:9" ht="30" customHeight="1">
      <c r="A748" s="8">
        <v>746</v>
      </c>
      <c r="B748" s="9" t="s">
        <v>24</v>
      </c>
      <c r="C748" s="9" t="s">
        <v>29</v>
      </c>
      <c r="D748" s="9" t="str">
        <f>"王平琼"</f>
        <v>王平琼</v>
      </c>
      <c r="E748" s="9" t="str">
        <f t="shared" si="125"/>
        <v>男</v>
      </c>
      <c r="F748" s="9" t="str">
        <f>"63992024041917053451486"</f>
        <v>63992024041917053451486</v>
      </c>
      <c r="G748" s="9" t="str">
        <f t="shared" si="122"/>
        <v>0212</v>
      </c>
      <c r="H748" s="9" t="s">
        <v>12</v>
      </c>
      <c r="I748" s="12"/>
    </row>
    <row r="749" spans="1:9" ht="30" customHeight="1">
      <c r="A749" s="8">
        <v>747</v>
      </c>
      <c r="B749" s="9" t="s">
        <v>24</v>
      </c>
      <c r="C749" s="9" t="s">
        <v>29</v>
      </c>
      <c r="D749" s="9" t="str">
        <f>"潘磊钢"</f>
        <v>潘磊钢</v>
      </c>
      <c r="E749" s="9" t="str">
        <f t="shared" si="125"/>
        <v>男</v>
      </c>
      <c r="F749" s="9" t="str">
        <f>"63992024042416473890955"</f>
        <v>63992024042416473890955</v>
      </c>
      <c r="G749" s="9" t="str">
        <f t="shared" si="122"/>
        <v>0212</v>
      </c>
      <c r="H749" s="9" t="s">
        <v>12</v>
      </c>
      <c r="I749" s="12"/>
    </row>
    <row r="750" spans="1:9" ht="30" customHeight="1">
      <c r="A750" s="8">
        <v>748</v>
      </c>
      <c r="B750" s="9" t="s">
        <v>24</v>
      </c>
      <c r="C750" s="9" t="s">
        <v>29</v>
      </c>
      <c r="D750" s="9" t="str">
        <f>"符国富"</f>
        <v>符国富</v>
      </c>
      <c r="E750" s="9" t="str">
        <f t="shared" si="125"/>
        <v>男</v>
      </c>
      <c r="F750" s="9" t="str">
        <f>"63992024042219195167207"</f>
        <v>63992024042219195167207</v>
      </c>
      <c r="G750" s="9" t="str">
        <f t="shared" si="122"/>
        <v>0212</v>
      </c>
      <c r="H750" s="9" t="s">
        <v>12</v>
      </c>
      <c r="I750" s="12"/>
    </row>
    <row r="751" spans="1:9" ht="30" customHeight="1">
      <c r="A751" s="8">
        <v>749</v>
      </c>
      <c r="B751" s="9" t="s">
        <v>24</v>
      </c>
      <c r="C751" s="9" t="s">
        <v>29</v>
      </c>
      <c r="D751" s="9" t="str">
        <f>"刘值谷"</f>
        <v>刘值谷</v>
      </c>
      <c r="E751" s="9" t="str">
        <f t="shared" si="125"/>
        <v>男</v>
      </c>
      <c r="F751" s="9" t="str">
        <f>"63992024042311315272326"</f>
        <v>63992024042311315272326</v>
      </c>
      <c r="G751" s="9" t="str">
        <f t="shared" si="122"/>
        <v>0212</v>
      </c>
      <c r="H751" s="9" t="s">
        <v>12</v>
      </c>
      <c r="I751" s="12"/>
    </row>
    <row r="752" spans="1:9" ht="30" customHeight="1">
      <c r="A752" s="8">
        <v>750</v>
      </c>
      <c r="B752" s="9" t="s">
        <v>24</v>
      </c>
      <c r="C752" s="9" t="s">
        <v>29</v>
      </c>
      <c r="D752" s="9" t="str">
        <f>"卢嘉昕"</f>
        <v>卢嘉昕</v>
      </c>
      <c r="E752" s="9" t="str">
        <f t="shared" si="125"/>
        <v>男</v>
      </c>
      <c r="F752" s="9" t="str">
        <f>"63992024042421362892806"</f>
        <v>63992024042421362892806</v>
      </c>
      <c r="G752" s="9" t="str">
        <f t="shared" si="122"/>
        <v>0212</v>
      </c>
      <c r="H752" s="9" t="s">
        <v>12</v>
      </c>
      <c r="I752" s="12"/>
    </row>
    <row r="753" spans="1:9" ht="30" customHeight="1">
      <c r="A753" s="8">
        <v>751</v>
      </c>
      <c r="B753" s="9" t="s">
        <v>24</v>
      </c>
      <c r="C753" s="9" t="s">
        <v>29</v>
      </c>
      <c r="D753" s="9" t="str">
        <f>"郑时一"</f>
        <v>郑时一</v>
      </c>
      <c r="E753" s="9" t="str">
        <f t="shared" si="125"/>
        <v>男</v>
      </c>
      <c r="F753" s="9" t="str">
        <f>"63992024042421391892826"</f>
        <v>63992024042421391892826</v>
      </c>
      <c r="G753" s="9" t="str">
        <f t="shared" si="122"/>
        <v>0212</v>
      </c>
      <c r="H753" s="9" t="s">
        <v>12</v>
      </c>
      <c r="I753" s="12"/>
    </row>
    <row r="754" spans="1:9" ht="30" customHeight="1">
      <c r="A754" s="8">
        <v>752</v>
      </c>
      <c r="B754" s="9" t="s">
        <v>24</v>
      </c>
      <c r="C754" s="9" t="s">
        <v>29</v>
      </c>
      <c r="D754" s="9" t="str">
        <f>"潘纪传"</f>
        <v>潘纪传</v>
      </c>
      <c r="E754" s="9" t="str">
        <f t="shared" si="125"/>
        <v>男</v>
      </c>
      <c r="F754" s="9" t="str">
        <f>"63992024042422302993079"</f>
        <v>63992024042422302993079</v>
      </c>
      <c r="G754" s="9" t="str">
        <f t="shared" si="122"/>
        <v>0212</v>
      </c>
      <c r="H754" s="9" t="s">
        <v>12</v>
      </c>
      <c r="I754" s="12"/>
    </row>
    <row r="755" spans="1:9" ht="30" customHeight="1">
      <c r="A755" s="8">
        <v>753</v>
      </c>
      <c r="B755" s="9" t="s">
        <v>24</v>
      </c>
      <c r="C755" s="9" t="s">
        <v>29</v>
      </c>
      <c r="D755" s="9" t="str">
        <f>"张璇"</f>
        <v>张璇</v>
      </c>
      <c r="E755" s="9" t="str">
        <f>"女"</f>
        <v>女</v>
      </c>
      <c r="F755" s="9" t="str">
        <f>"63992024042420565492594"</f>
        <v>63992024042420565492594</v>
      </c>
      <c r="G755" s="9" t="str">
        <f t="shared" si="122"/>
        <v>0212</v>
      </c>
      <c r="H755" s="9" t="s">
        <v>12</v>
      </c>
      <c r="I755" s="12"/>
    </row>
    <row r="756" spans="1:9" ht="30" customHeight="1">
      <c r="A756" s="8">
        <v>754</v>
      </c>
      <c r="B756" s="9" t="s">
        <v>24</v>
      </c>
      <c r="C756" s="9" t="s">
        <v>29</v>
      </c>
      <c r="D756" s="9" t="str">
        <f>"谭必超"</f>
        <v>谭必超</v>
      </c>
      <c r="E756" s="9" t="str">
        <f aca="true" t="shared" si="126" ref="E756:E777">"男"</f>
        <v>男</v>
      </c>
      <c r="F756" s="9" t="str">
        <f>"63992024042413283788364"</f>
        <v>63992024042413283788364</v>
      </c>
      <c r="G756" s="9" t="str">
        <f t="shared" si="122"/>
        <v>0212</v>
      </c>
      <c r="H756" s="9" t="s">
        <v>12</v>
      </c>
      <c r="I756" s="12"/>
    </row>
    <row r="757" spans="1:9" ht="39.75" customHeight="1">
      <c r="A757" s="8">
        <v>755</v>
      </c>
      <c r="B757" s="9" t="s">
        <v>24</v>
      </c>
      <c r="C757" s="9" t="s">
        <v>29</v>
      </c>
      <c r="D757" s="9" t="str">
        <f>"赵若铭"</f>
        <v>赵若铭</v>
      </c>
      <c r="E757" s="9" t="str">
        <f>"女"</f>
        <v>女</v>
      </c>
      <c r="F757" s="9" t="str">
        <f>"63992024042501382393509"</f>
        <v>63992024042501382393509</v>
      </c>
      <c r="G757" s="9" t="str">
        <f t="shared" si="122"/>
        <v>0212</v>
      </c>
      <c r="H757" s="10" t="s">
        <v>15</v>
      </c>
      <c r="I757" s="12"/>
    </row>
    <row r="758" spans="1:9" ht="30" customHeight="1">
      <c r="A758" s="8">
        <v>756</v>
      </c>
      <c r="B758" s="9" t="s">
        <v>24</v>
      </c>
      <c r="C758" s="9" t="s">
        <v>29</v>
      </c>
      <c r="D758" s="9" t="str">
        <f>"桂才荣"</f>
        <v>桂才荣</v>
      </c>
      <c r="E758" s="9" t="str">
        <f t="shared" si="126"/>
        <v>男</v>
      </c>
      <c r="F758" s="9" t="str">
        <f>"63992024042414520589267"</f>
        <v>63992024042414520589267</v>
      </c>
      <c r="G758" s="9" t="str">
        <f t="shared" si="122"/>
        <v>0212</v>
      </c>
      <c r="H758" s="9" t="s">
        <v>12</v>
      </c>
      <c r="I758" s="12"/>
    </row>
    <row r="759" spans="1:9" ht="30" customHeight="1">
      <c r="A759" s="8">
        <v>757</v>
      </c>
      <c r="B759" s="9" t="s">
        <v>24</v>
      </c>
      <c r="C759" s="9" t="s">
        <v>29</v>
      </c>
      <c r="D759" s="9" t="str">
        <f>"董长熙"</f>
        <v>董长熙</v>
      </c>
      <c r="E759" s="9" t="str">
        <f t="shared" si="126"/>
        <v>男</v>
      </c>
      <c r="F759" s="9" t="str">
        <f>"63992024042510474094593"</f>
        <v>63992024042510474094593</v>
      </c>
      <c r="G759" s="9" t="str">
        <f t="shared" si="122"/>
        <v>0212</v>
      </c>
      <c r="H759" s="9" t="s">
        <v>12</v>
      </c>
      <c r="I759" s="12"/>
    </row>
    <row r="760" spans="1:9" ht="30" customHeight="1">
      <c r="A760" s="8">
        <v>758</v>
      </c>
      <c r="B760" s="9" t="s">
        <v>24</v>
      </c>
      <c r="C760" s="9" t="s">
        <v>29</v>
      </c>
      <c r="D760" s="9" t="str">
        <f>"张文腾"</f>
        <v>张文腾</v>
      </c>
      <c r="E760" s="9" t="str">
        <f t="shared" si="126"/>
        <v>男</v>
      </c>
      <c r="F760" s="9" t="str">
        <f>"63992024042510561394978"</f>
        <v>63992024042510561394978</v>
      </c>
      <c r="G760" s="9" t="str">
        <f t="shared" si="122"/>
        <v>0212</v>
      </c>
      <c r="H760" s="9" t="s">
        <v>12</v>
      </c>
      <c r="I760" s="12"/>
    </row>
    <row r="761" spans="1:9" ht="30" customHeight="1">
      <c r="A761" s="8">
        <v>759</v>
      </c>
      <c r="B761" s="9" t="s">
        <v>24</v>
      </c>
      <c r="C761" s="9" t="s">
        <v>29</v>
      </c>
      <c r="D761" s="9" t="str">
        <f>"黄辅委"</f>
        <v>黄辅委</v>
      </c>
      <c r="E761" s="9" t="str">
        <f t="shared" si="126"/>
        <v>男</v>
      </c>
      <c r="F761" s="9" t="str">
        <f>"63992024042511003195005"</f>
        <v>63992024042511003195005</v>
      </c>
      <c r="G761" s="9" t="str">
        <f t="shared" si="122"/>
        <v>0212</v>
      </c>
      <c r="H761" s="9" t="s">
        <v>12</v>
      </c>
      <c r="I761" s="12"/>
    </row>
    <row r="762" spans="1:9" ht="30" customHeight="1">
      <c r="A762" s="8">
        <v>760</v>
      </c>
      <c r="B762" s="9" t="s">
        <v>24</v>
      </c>
      <c r="C762" s="9" t="s">
        <v>29</v>
      </c>
      <c r="D762" s="9" t="str">
        <f>"王文勋"</f>
        <v>王文勋</v>
      </c>
      <c r="E762" s="9" t="str">
        <f t="shared" si="126"/>
        <v>男</v>
      </c>
      <c r="F762" s="9" t="str">
        <f>"63992024042511303395185"</f>
        <v>63992024042511303395185</v>
      </c>
      <c r="G762" s="9" t="str">
        <f t="shared" si="122"/>
        <v>0212</v>
      </c>
      <c r="H762" s="9" t="s">
        <v>12</v>
      </c>
      <c r="I762" s="12"/>
    </row>
    <row r="763" spans="1:9" ht="30" customHeight="1">
      <c r="A763" s="8">
        <v>761</v>
      </c>
      <c r="B763" s="9" t="s">
        <v>24</v>
      </c>
      <c r="C763" s="9" t="s">
        <v>29</v>
      </c>
      <c r="D763" s="9" t="str">
        <f>"林政健"</f>
        <v>林政健</v>
      </c>
      <c r="E763" s="9" t="str">
        <f t="shared" si="126"/>
        <v>男</v>
      </c>
      <c r="F763" s="9" t="str">
        <f>"63992024042512534295497"</f>
        <v>63992024042512534295497</v>
      </c>
      <c r="G763" s="9" t="str">
        <f t="shared" si="122"/>
        <v>0212</v>
      </c>
      <c r="H763" s="9" t="s">
        <v>12</v>
      </c>
      <c r="I763" s="12"/>
    </row>
    <row r="764" spans="1:9" ht="30" customHeight="1">
      <c r="A764" s="8">
        <v>762</v>
      </c>
      <c r="B764" s="9" t="s">
        <v>24</v>
      </c>
      <c r="C764" s="9" t="s">
        <v>29</v>
      </c>
      <c r="D764" s="9" t="str">
        <f>"户俊钧"</f>
        <v>户俊钧</v>
      </c>
      <c r="E764" s="9" t="str">
        <f t="shared" si="126"/>
        <v>男</v>
      </c>
      <c r="F764" s="9" t="str">
        <f>"63992024042513164095582"</f>
        <v>63992024042513164095582</v>
      </c>
      <c r="G764" s="9" t="str">
        <f t="shared" si="122"/>
        <v>0212</v>
      </c>
      <c r="H764" s="9" t="s">
        <v>12</v>
      </c>
      <c r="I764" s="12"/>
    </row>
    <row r="765" spans="1:9" ht="30" customHeight="1">
      <c r="A765" s="8">
        <v>763</v>
      </c>
      <c r="B765" s="9" t="s">
        <v>24</v>
      </c>
      <c r="C765" s="9" t="s">
        <v>29</v>
      </c>
      <c r="D765" s="9" t="str">
        <f>"尹聪"</f>
        <v>尹聪</v>
      </c>
      <c r="E765" s="9" t="str">
        <f t="shared" si="126"/>
        <v>男</v>
      </c>
      <c r="F765" s="9" t="str">
        <f>"63992024042209131658974"</f>
        <v>63992024042209131658974</v>
      </c>
      <c r="G765" s="9" t="str">
        <f t="shared" si="122"/>
        <v>0212</v>
      </c>
      <c r="H765" s="9" t="s">
        <v>12</v>
      </c>
      <c r="I765" s="12"/>
    </row>
    <row r="766" spans="1:9" ht="30" customHeight="1">
      <c r="A766" s="8">
        <v>764</v>
      </c>
      <c r="B766" s="9" t="s">
        <v>24</v>
      </c>
      <c r="C766" s="9" t="s">
        <v>29</v>
      </c>
      <c r="D766" s="9" t="str">
        <f>"林道勇"</f>
        <v>林道勇</v>
      </c>
      <c r="E766" s="9" t="str">
        <f t="shared" si="126"/>
        <v>男</v>
      </c>
      <c r="F766" s="9" t="str">
        <f>"639920240426083215109013"</f>
        <v>639920240426083215109013</v>
      </c>
      <c r="G766" s="9" t="str">
        <f t="shared" si="122"/>
        <v>0212</v>
      </c>
      <c r="H766" s="9" t="s">
        <v>12</v>
      </c>
      <c r="I766" s="12"/>
    </row>
    <row r="767" spans="1:9" ht="30" customHeight="1">
      <c r="A767" s="8">
        <v>765</v>
      </c>
      <c r="B767" s="9" t="s">
        <v>24</v>
      </c>
      <c r="C767" s="9" t="s">
        <v>29</v>
      </c>
      <c r="D767" s="9" t="str">
        <f>"简天泽"</f>
        <v>简天泽</v>
      </c>
      <c r="E767" s="9" t="str">
        <f t="shared" si="126"/>
        <v>男</v>
      </c>
      <c r="F767" s="9" t="str">
        <f>"639920240426083811109029"</f>
        <v>639920240426083811109029</v>
      </c>
      <c r="G767" s="9" t="str">
        <f t="shared" si="122"/>
        <v>0212</v>
      </c>
      <c r="H767" s="9" t="s">
        <v>12</v>
      </c>
      <c r="I767" s="12"/>
    </row>
    <row r="768" spans="1:9" ht="30" customHeight="1">
      <c r="A768" s="8">
        <v>766</v>
      </c>
      <c r="B768" s="9" t="s">
        <v>24</v>
      </c>
      <c r="C768" s="9" t="s">
        <v>29</v>
      </c>
      <c r="D768" s="9" t="str">
        <f>"王欢"</f>
        <v>王欢</v>
      </c>
      <c r="E768" s="9" t="str">
        <f t="shared" si="126"/>
        <v>男</v>
      </c>
      <c r="F768" s="9" t="str">
        <f>"639920240426091803109215"</f>
        <v>639920240426091803109215</v>
      </c>
      <c r="G768" s="9" t="str">
        <f t="shared" si="122"/>
        <v>0212</v>
      </c>
      <c r="H768" s="9" t="s">
        <v>12</v>
      </c>
      <c r="I768" s="12"/>
    </row>
    <row r="769" spans="1:9" ht="30" customHeight="1">
      <c r="A769" s="8">
        <v>767</v>
      </c>
      <c r="B769" s="9" t="s">
        <v>24</v>
      </c>
      <c r="C769" s="9" t="s">
        <v>29</v>
      </c>
      <c r="D769" s="9" t="str">
        <f>"王海云"</f>
        <v>王海云</v>
      </c>
      <c r="E769" s="9" t="str">
        <f t="shared" si="126"/>
        <v>男</v>
      </c>
      <c r="F769" s="9" t="str">
        <f>"639920240426093223109295"</f>
        <v>639920240426093223109295</v>
      </c>
      <c r="G769" s="9" t="str">
        <f t="shared" si="122"/>
        <v>0212</v>
      </c>
      <c r="H769" s="9" t="s">
        <v>12</v>
      </c>
      <c r="I769" s="12"/>
    </row>
    <row r="770" spans="1:9" ht="30" customHeight="1">
      <c r="A770" s="8">
        <v>768</v>
      </c>
      <c r="B770" s="9" t="s">
        <v>24</v>
      </c>
      <c r="C770" s="9" t="s">
        <v>29</v>
      </c>
      <c r="D770" s="9" t="str">
        <f>"李高辉"</f>
        <v>李高辉</v>
      </c>
      <c r="E770" s="9" t="str">
        <f t="shared" si="126"/>
        <v>男</v>
      </c>
      <c r="F770" s="9" t="str">
        <f>"639920240426103605109619"</f>
        <v>639920240426103605109619</v>
      </c>
      <c r="G770" s="9" t="str">
        <f t="shared" si="122"/>
        <v>0212</v>
      </c>
      <c r="H770" s="9" t="s">
        <v>12</v>
      </c>
      <c r="I770" s="12"/>
    </row>
    <row r="771" spans="1:9" ht="30" customHeight="1">
      <c r="A771" s="8">
        <v>769</v>
      </c>
      <c r="B771" s="9" t="s">
        <v>24</v>
      </c>
      <c r="C771" s="9" t="s">
        <v>29</v>
      </c>
      <c r="D771" s="9" t="str">
        <f>"赵举"</f>
        <v>赵举</v>
      </c>
      <c r="E771" s="9" t="str">
        <f t="shared" si="126"/>
        <v>男</v>
      </c>
      <c r="F771" s="9" t="str">
        <f>"639920240426111505109812"</f>
        <v>639920240426111505109812</v>
      </c>
      <c r="G771" s="9" t="str">
        <f t="shared" si="122"/>
        <v>0212</v>
      </c>
      <c r="H771" s="9" t="s">
        <v>12</v>
      </c>
      <c r="I771" s="12"/>
    </row>
    <row r="772" spans="1:9" ht="30" customHeight="1">
      <c r="A772" s="8">
        <v>770</v>
      </c>
      <c r="B772" s="9" t="s">
        <v>24</v>
      </c>
      <c r="C772" s="9" t="s">
        <v>29</v>
      </c>
      <c r="D772" s="9" t="str">
        <f>"符海东"</f>
        <v>符海东</v>
      </c>
      <c r="E772" s="9" t="str">
        <f t="shared" si="126"/>
        <v>男</v>
      </c>
      <c r="F772" s="9" t="str">
        <f>"639920240426120752110040"</f>
        <v>639920240426120752110040</v>
      </c>
      <c r="G772" s="9" t="str">
        <f t="shared" si="122"/>
        <v>0212</v>
      </c>
      <c r="H772" s="9" t="s">
        <v>12</v>
      </c>
      <c r="I772" s="12"/>
    </row>
    <row r="773" spans="1:9" ht="30" customHeight="1">
      <c r="A773" s="8">
        <v>771</v>
      </c>
      <c r="B773" s="9" t="s">
        <v>24</v>
      </c>
      <c r="C773" s="9" t="s">
        <v>29</v>
      </c>
      <c r="D773" s="9" t="str">
        <f>"赵成榜"</f>
        <v>赵成榜</v>
      </c>
      <c r="E773" s="9" t="str">
        <f t="shared" si="126"/>
        <v>男</v>
      </c>
      <c r="F773" s="9" t="str">
        <f>"639920240426080301108969"</f>
        <v>639920240426080301108969</v>
      </c>
      <c r="G773" s="9" t="str">
        <f t="shared" si="122"/>
        <v>0212</v>
      </c>
      <c r="H773" s="9" t="s">
        <v>12</v>
      </c>
      <c r="I773" s="12"/>
    </row>
    <row r="774" spans="1:9" ht="30" customHeight="1">
      <c r="A774" s="8">
        <v>772</v>
      </c>
      <c r="B774" s="9" t="s">
        <v>24</v>
      </c>
      <c r="C774" s="9" t="s">
        <v>29</v>
      </c>
      <c r="D774" s="9" t="str">
        <f>"符帝传"</f>
        <v>符帝传</v>
      </c>
      <c r="E774" s="9" t="str">
        <f t="shared" si="126"/>
        <v>男</v>
      </c>
      <c r="F774" s="9" t="str">
        <f>"639920240426155706110857"</f>
        <v>639920240426155706110857</v>
      </c>
      <c r="G774" s="9" t="str">
        <f t="shared" si="122"/>
        <v>0212</v>
      </c>
      <c r="H774" s="9" t="s">
        <v>12</v>
      </c>
      <c r="I774" s="12"/>
    </row>
    <row r="775" spans="1:9" ht="30" customHeight="1">
      <c r="A775" s="8">
        <v>773</v>
      </c>
      <c r="B775" s="9" t="s">
        <v>24</v>
      </c>
      <c r="C775" s="9" t="s">
        <v>29</v>
      </c>
      <c r="D775" s="9" t="str">
        <f>"李雷向"</f>
        <v>李雷向</v>
      </c>
      <c r="E775" s="9" t="str">
        <f t="shared" si="126"/>
        <v>男</v>
      </c>
      <c r="F775" s="9" t="str">
        <f>"639920240426160918110908"</f>
        <v>639920240426160918110908</v>
      </c>
      <c r="G775" s="9" t="str">
        <f t="shared" si="122"/>
        <v>0212</v>
      </c>
      <c r="H775" s="9" t="s">
        <v>12</v>
      </c>
      <c r="I775" s="12"/>
    </row>
    <row r="776" spans="1:9" ht="30" customHeight="1">
      <c r="A776" s="8">
        <v>774</v>
      </c>
      <c r="B776" s="9" t="s">
        <v>24</v>
      </c>
      <c r="C776" s="9" t="s">
        <v>29</v>
      </c>
      <c r="D776" s="9" t="str">
        <f>"李传锋"</f>
        <v>李传锋</v>
      </c>
      <c r="E776" s="9" t="str">
        <f t="shared" si="126"/>
        <v>男</v>
      </c>
      <c r="F776" s="9" t="str">
        <f>"639920240426210442111502"</f>
        <v>639920240426210442111502</v>
      </c>
      <c r="G776" s="9" t="str">
        <f t="shared" si="122"/>
        <v>0212</v>
      </c>
      <c r="H776" s="9" t="s">
        <v>12</v>
      </c>
      <c r="I776" s="12"/>
    </row>
    <row r="777" spans="1:9" ht="30" customHeight="1">
      <c r="A777" s="8">
        <v>775</v>
      </c>
      <c r="B777" s="9" t="s">
        <v>24</v>
      </c>
      <c r="C777" s="9" t="s">
        <v>29</v>
      </c>
      <c r="D777" s="9" t="str">
        <f>"范炜杰"</f>
        <v>范炜杰</v>
      </c>
      <c r="E777" s="9" t="str">
        <f t="shared" si="126"/>
        <v>男</v>
      </c>
      <c r="F777" s="9" t="str">
        <f>"639920240427231313113992"</f>
        <v>639920240427231313113992</v>
      </c>
      <c r="G777" s="9" t="str">
        <f t="shared" si="122"/>
        <v>0212</v>
      </c>
      <c r="H777" s="9" t="s">
        <v>12</v>
      </c>
      <c r="I777" s="12"/>
    </row>
    <row r="778" spans="1:9" ht="30" customHeight="1">
      <c r="A778" s="8">
        <v>776</v>
      </c>
      <c r="B778" s="9" t="s">
        <v>24</v>
      </c>
      <c r="C778" s="9" t="s">
        <v>29</v>
      </c>
      <c r="D778" s="9" t="str">
        <f>"陈晓玲"</f>
        <v>陈晓玲</v>
      </c>
      <c r="E778" s="9" t="str">
        <f>"女"</f>
        <v>女</v>
      </c>
      <c r="F778" s="9" t="str">
        <f>"639920240428095756114712"</f>
        <v>639920240428095756114712</v>
      </c>
      <c r="G778" s="9" t="str">
        <f t="shared" si="122"/>
        <v>0212</v>
      </c>
      <c r="H778" s="9" t="s">
        <v>12</v>
      </c>
      <c r="I778" s="12"/>
    </row>
    <row r="779" spans="1:9" ht="30" customHeight="1">
      <c r="A779" s="8">
        <v>777</v>
      </c>
      <c r="B779" s="9" t="s">
        <v>24</v>
      </c>
      <c r="C779" s="9" t="s">
        <v>29</v>
      </c>
      <c r="D779" s="9" t="str">
        <f>"符泮升"</f>
        <v>符泮升</v>
      </c>
      <c r="E779" s="9" t="str">
        <f aca="true" t="shared" si="127" ref="E779:E785">"男"</f>
        <v>男</v>
      </c>
      <c r="F779" s="9" t="str">
        <f>"639920240428094307114623"</f>
        <v>639920240428094307114623</v>
      </c>
      <c r="G779" s="9" t="str">
        <f t="shared" si="122"/>
        <v>0212</v>
      </c>
      <c r="H779" s="9" t="s">
        <v>12</v>
      </c>
      <c r="I779" s="12"/>
    </row>
    <row r="780" spans="1:9" ht="30" customHeight="1">
      <c r="A780" s="8">
        <v>778</v>
      </c>
      <c r="B780" s="9" t="s">
        <v>24</v>
      </c>
      <c r="C780" s="9" t="s">
        <v>29</v>
      </c>
      <c r="D780" s="9" t="str">
        <f>"张雪凝"</f>
        <v>张雪凝</v>
      </c>
      <c r="E780" s="9" t="str">
        <f>"女"</f>
        <v>女</v>
      </c>
      <c r="F780" s="9" t="str">
        <f>"639920240428163726116326"</f>
        <v>639920240428163726116326</v>
      </c>
      <c r="G780" s="9" t="str">
        <f t="shared" si="122"/>
        <v>0212</v>
      </c>
      <c r="H780" s="9" t="s">
        <v>12</v>
      </c>
      <c r="I780" s="12"/>
    </row>
    <row r="781" spans="1:9" ht="39.75" customHeight="1">
      <c r="A781" s="8">
        <v>779</v>
      </c>
      <c r="B781" s="9" t="s">
        <v>24</v>
      </c>
      <c r="C781" s="9" t="s">
        <v>29</v>
      </c>
      <c r="D781" s="9" t="str">
        <f>"刘邦朝"</f>
        <v>刘邦朝</v>
      </c>
      <c r="E781" s="9" t="str">
        <f t="shared" si="127"/>
        <v>男</v>
      </c>
      <c r="F781" s="9" t="str">
        <f>"639920240428153654116089"</f>
        <v>639920240428153654116089</v>
      </c>
      <c r="G781" s="9" t="str">
        <f t="shared" si="122"/>
        <v>0212</v>
      </c>
      <c r="H781" s="10" t="s">
        <v>15</v>
      </c>
      <c r="I781" s="12"/>
    </row>
    <row r="782" spans="1:9" ht="30" customHeight="1">
      <c r="A782" s="8">
        <v>780</v>
      </c>
      <c r="B782" s="9" t="s">
        <v>24</v>
      </c>
      <c r="C782" s="9" t="s">
        <v>29</v>
      </c>
      <c r="D782" s="9" t="str">
        <f>"李传浪"</f>
        <v>李传浪</v>
      </c>
      <c r="E782" s="9" t="str">
        <f t="shared" si="127"/>
        <v>男</v>
      </c>
      <c r="F782" s="9" t="str">
        <f>"639920240428183744116673"</f>
        <v>639920240428183744116673</v>
      </c>
      <c r="G782" s="9" t="str">
        <f t="shared" si="122"/>
        <v>0212</v>
      </c>
      <c r="H782" s="9" t="s">
        <v>12</v>
      </c>
      <c r="I782" s="12"/>
    </row>
    <row r="783" spans="1:9" ht="30" customHeight="1">
      <c r="A783" s="8">
        <v>781</v>
      </c>
      <c r="B783" s="9" t="s">
        <v>24</v>
      </c>
      <c r="C783" s="9" t="s">
        <v>29</v>
      </c>
      <c r="D783" s="9" t="str">
        <f>"张星"</f>
        <v>张星</v>
      </c>
      <c r="E783" s="9" t="str">
        <f t="shared" si="127"/>
        <v>男</v>
      </c>
      <c r="F783" s="9" t="str">
        <f>"639920240428193029116788"</f>
        <v>639920240428193029116788</v>
      </c>
      <c r="G783" s="9" t="str">
        <f t="shared" si="122"/>
        <v>0212</v>
      </c>
      <c r="H783" s="9" t="s">
        <v>12</v>
      </c>
      <c r="I783" s="12"/>
    </row>
    <row r="784" spans="1:9" ht="30" customHeight="1">
      <c r="A784" s="8">
        <v>782</v>
      </c>
      <c r="B784" s="9" t="s">
        <v>24</v>
      </c>
      <c r="C784" s="9" t="s">
        <v>29</v>
      </c>
      <c r="D784" s="9" t="str">
        <f>"陆玉康"</f>
        <v>陆玉康</v>
      </c>
      <c r="E784" s="9" t="str">
        <f t="shared" si="127"/>
        <v>男</v>
      </c>
      <c r="F784" s="9" t="str">
        <f>"639920240428195658116844"</f>
        <v>639920240428195658116844</v>
      </c>
      <c r="G784" s="9" t="str">
        <f t="shared" si="122"/>
        <v>0212</v>
      </c>
      <c r="H784" s="9" t="s">
        <v>12</v>
      </c>
      <c r="I784" s="12"/>
    </row>
    <row r="785" spans="1:9" ht="30" customHeight="1">
      <c r="A785" s="8">
        <v>783</v>
      </c>
      <c r="B785" s="9" t="s">
        <v>24</v>
      </c>
      <c r="C785" s="9" t="s">
        <v>29</v>
      </c>
      <c r="D785" s="9" t="str">
        <f>"符文进"</f>
        <v>符文进</v>
      </c>
      <c r="E785" s="9" t="str">
        <f t="shared" si="127"/>
        <v>男</v>
      </c>
      <c r="F785" s="9" t="str">
        <f>"639920240428201855116899"</f>
        <v>639920240428201855116899</v>
      </c>
      <c r="G785" s="9" t="str">
        <f t="shared" si="122"/>
        <v>0212</v>
      </c>
      <c r="H785" s="9" t="s">
        <v>12</v>
      </c>
      <c r="I785" s="12"/>
    </row>
    <row r="786" spans="1:9" ht="30" customHeight="1">
      <c r="A786" s="8">
        <v>784</v>
      </c>
      <c r="B786" s="9" t="s">
        <v>24</v>
      </c>
      <c r="C786" s="9" t="s">
        <v>29</v>
      </c>
      <c r="D786" s="9" t="str">
        <f>"赖丹芝"</f>
        <v>赖丹芝</v>
      </c>
      <c r="E786" s="9" t="str">
        <f>"女"</f>
        <v>女</v>
      </c>
      <c r="F786" s="9" t="str">
        <f>"639920240429000052117322"</f>
        <v>639920240429000052117322</v>
      </c>
      <c r="G786" s="9" t="str">
        <f t="shared" si="122"/>
        <v>0212</v>
      </c>
      <c r="H786" s="9" t="s">
        <v>12</v>
      </c>
      <c r="I786" s="12"/>
    </row>
    <row r="787" spans="1:9" ht="30" customHeight="1">
      <c r="A787" s="8">
        <v>785</v>
      </c>
      <c r="B787" s="9" t="s">
        <v>24</v>
      </c>
      <c r="C787" s="9" t="s">
        <v>29</v>
      </c>
      <c r="D787" s="9" t="str">
        <f>"吴多超"</f>
        <v>吴多超</v>
      </c>
      <c r="E787" s="9" t="str">
        <f>"男"</f>
        <v>男</v>
      </c>
      <c r="F787" s="9" t="str">
        <f>"639920240429153038119381"</f>
        <v>639920240429153038119381</v>
      </c>
      <c r="G787" s="9" t="str">
        <f t="shared" si="122"/>
        <v>0212</v>
      </c>
      <c r="H787" s="9" t="s">
        <v>12</v>
      </c>
      <c r="I787" s="12"/>
    </row>
    <row r="788" spans="1:9" ht="30" customHeight="1">
      <c r="A788" s="8">
        <v>786</v>
      </c>
      <c r="B788" s="9" t="s">
        <v>24</v>
      </c>
      <c r="C788" s="9" t="s">
        <v>29</v>
      </c>
      <c r="D788" s="9" t="str">
        <f>"陈建"</f>
        <v>陈建</v>
      </c>
      <c r="E788" s="9" t="str">
        <f>"男"</f>
        <v>男</v>
      </c>
      <c r="F788" s="9" t="str">
        <f>"63992024042321200679052"</f>
        <v>63992024042321200679052</v>
      </c>
      <c r="G788" s="9" t="str">
        <f t="shared" si="122"/>
        <v>0212</v>
      </c>
      <c r="H788" s="9" t="s">
        <v>12</v>
      </c>
      <c r="I788" s="12"/>
    </row>
    <row r="789" spans="1:9" ht="30" customHeight="1">
      <c r="A789" s="8">
        <v>787</v>
      </c>
      <c r="B789" s="9" t="s">
        <v>24</v>
      </c>
      <c r="C789" s="9" t="s">
        <v>29</v>
      </c>
      <c r="D789" s="9" t="str">
        <f>"苏燕妮"</f>
        <v>苏燕妮</v>
      </c>
      <c r="E789" s="9" t="str">
        <f>"女"</f>
        <v>女</v>
      </c>
      <c r="F789" s="9" t="str">
        <f>"639920240429160643119561"</f>
        <v>639920240429160643119561</v>
      </c>
      <c r="G789" s="9" t="str">
        <f t="shared" si="122"/>
        <v>0212</v>
      </c>
      <c r="H789" s="9" t="s">
        <v>12</v>
      </c>
      <c r="I789" s="12"/>
    </row>
  </sheetData>
  <sheetProtection/>
  <autoFilter ref="A2:I789"/>
  <mergeCells count="1">
    <mergeCell ref="A1:I1"/>
  </mergeCells>
  <printOptions/>
  <pageMargins left="0.75" right="0.75" top="1" bottom="1" header="0.5" footer="0.5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2023-03-31T08:28:15Z</dcterms:created>
  <dcterms:modified xsi:type="dcterms:W3CDTF">2024-04-29T10:44:17Z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D484054A2B86410BABAB82AB00211FF9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