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成绩" sheetId="1" r:id="rId1"/>
  </sheets>
  <definedNames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<sst xmlns="http://schemas.openxmlformats.org/spreadsheetml/2006/main" count="27" uniqueCount="11">
  <si>
    <t>2023年宛城区事业单位招聘--总成绩表</t>
  </si>
  <si>
    <t>岗位代码</t>
  </si>
  <si>
    <t>准考证号</t>
  </si>
  <si>
    <t>姓名</t>
  </si>
  <si>
    <t>性别</t>
  </si>
  <si>
    <t>笔试成绩</t>
  </si>
  <si>
    <t>面试成绩</t>
  </si>
  <si>
    <t>总成绩</t>
  </si>
  <si>
    <t>序号</t>
  </si>
  <si>
    <t>缺考</t>
  </si>
  <si>
    <t>放弃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</si>
</sst>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"/>
  <sheetViews>
    <sheetView tabSelected="1" topLeftCell="A208" workbookViewId="0">
      <selection activeCell="N3" sqref="N3"/>
    </sheetView>
  </sheetViews>
  <sheetFormatPr defaultColWidth="9" defaultRowHeight="14.25" outlineLevelCol="7"/>
  <cols>
    <col min="1" max="1" width="11.5" style="1" customWidth="1"/>
    <col min="2" max="2" width="13.375" style="1" customWidth="1"/>
    <col min="3" max="3" width="11.5" style="1" customWidth="1"/>
    <col min="4" max="4" width="6.875" style="1" customWidth="1"/>
    <col min="5" max="5" width="11.5" style="2" customWidth="1"/>
    <col min="6" max="6" width="11.5" style="1" customWidth="1"/>
    <col min="7" max="7" width="10.625" style="1" customWidth="1"/>
    <col min="8" max="8" width="9" style="3"/>
    <col min="9" max="16382" width="9" style="1"/>
  </cols>
  <sheetData>
    <row r="1" ht="30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s="1" customFormat="1" ht="18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</row>
    <row r="3" s="1" customFormat="1" ht="22" customHeight="1" spans="1:8">
      <c r="A3" s="8" t="str">
        <f t="shared" ref="A3:A66" si="0">MID(B3,1,4)</f>
        <v>9011</v>
      </c>
      <c r="B3" s="6" t="str">
        <f>"90110100229"</f>
        <v>90110100229</v>
      </c>
      <c r="C3" s="6" t="str">
        <f>"刘晓萌"</f>
        <v>刘晓萌</v>
      </c>
      <c r="D3" s="6" t="str">
        <f t="shared" ref="D3:D8" si="1">"男"</f>
        <v>男</v>
      </c>
      <c r="E3" s="7">
        <v>71.9</v>
      </c>
      <c r="F3" s="7">
        <v>84.68</v>
      </c>
      <c r="G3" s="7">
        <v>78.29</v>
      </c>
      <c r="H3" s="6">
        <v>1</v>
      </c>
    </row>
    <row r="4" s="1" customFormat="1" ht="22" customHeight="1" spans="1:8">
      <c r="A4" s="8" t="str">
        <f t="shared" si="0"/>
        <v>9011</v>
      </c>
      <c r="B4" s="6" t="str">
        <f>"90110100124"</f>
        <v>90110100124</v>
      </c>
      <c r="C4" s="6" t="str">
        <f>"薛大帅"</f>
        <v>薛大帅</v>
      </c>
      <c r="D4" s="6" t="str">
        <f t="shared" si="1"/>
        <v>男</v>
      </c>
      <c r="E4" s="7">
        <v>68.7</v>
      </c>
      <c r="F4" s="7">
        <v>86.16</v>
      </c>
      <c r="G4" s="7">
        <v>77.43</v>
      </c>
      <c r="H4" s="6">
        <v>2</v>
      </c>
    </row>
    <row r="5" s="1" customFormat="1" ht="22" customHeight="1" spans="1:8">
      <c r="A5" s="8" t="str">
        <f t="shared" si="0"/>
        <v>9011</v>
      </c>
      <c r="B5" s="6" t="str">
        <f>"90110100408"</f>
        <v>90110100408</v>
      </c>
      <c r="C5" s="6" t="str">
        <f>"周蕴"</f>
        <v>周蕴</v>
      </c>
      <c r="D5" s="6" t="str">
        <f t="shared" ref="D5:D7" si="2">"女"</f>
        <v>女</v>
      </c>
      <c r="E5" s="7">
        <v>70.7</v>
      </c>
      <c r="F5" s="7">
        <v>83.14</v>
      </c>
      <c r="G5" s="7">
        <v>76.92</v>
      </c>
      <c r="H5" s="6">
        <v>3</v>
      </c>
    </row>
    <row r="6" s="1" customFormat="1" ht="22" customHeight="1" spans="1:8">
      <c r="A6" s="8" t="str">
        <f t="shared" si="0"/>
        <v>9012</v>
      </c>
      <c r="B6" s="6" t="str">
        <f>"90120100703"</f>
        <v>90120100703</v>
      </c>
      <c r="C6" s="6" t="str">
        <f>"马康舒"</f>
        <v>马康舒</v>
      </c>
      <c r="D6" s="6" t="str">
        <f t="shared" si="2"/>
        <v>女</v>
      </c>
      <c r="E6" s="7">
        <v>73.9</v>
      </c>
      <c r="F6" s="7">
        <v>86.64</v>
      </c>
      <c r="G6" s="7">
        <v>80.27</v>
      </c>
      <c r="H6" s="6">
        <v>1</v>
      </c>
    </row>
    <row r="7" s="1" customFormat="1" ht="22" customHeight="1" spans="1:8">
      <c r="A7" s="8" t="str">
        <f t="shared" si="0"/>
        <v>9012</v>
      </c>
      <c r="B7" s="6" t="str">
        <f>"90120101109"</f>
        <v>90120101109</v>
      </c>
      <c r="C7" s="6" t="str">
        <f>"尚湛"</f>
        <v>尚湛</v>
      </c>
      <c r="D7" s="6" t="str">
        <f t="shared" si="2"/>
        <v>女</v>
      </c>
      <c r="E7" s="7">
        <v>75.1</v>
      </c>
      <c r="F7" s="7">
        <v>82.28</v>
      </c>
      <c r="G7" s="7">
        <v>78.69</v>
      </c>
      <c r="H7" s="6">
        <v>2</v>
      </c>
    </row>
    <row r="8" s="1" customFormat="1" ht="22" customHeight="1" spans="1:8">
      <c r="A8" s="8" t="str">
        <f t="shared" si="0"/>
        <v>9012</v>
      </c>
      <c r="B8" s="6" t="str">
        <f>"90120100426"</f>
        <v>90120100426</v>
      </c>
      <c r="C8" s="6" t="str">
        <f>"王硕"</f>
        <v>王硕</v>
      </c>
      <c r="D8" s="6" t="str">
        <f t="shared" si="1"/>
        <v>男</v>
      </c>
      <c r="E8" s="7">
        <v>75.9</v>
      </c>
      <c r="F8" s="7">
        <v>79.94</v>
      </c>
      <c r="G8" s="7">
        <v>77.92</v>
      </c>
      <c r="H8" s="6">
        <v>3</v>
      </c>
    </row>
    <row r="9" s="1" customFormat="1" ht="22" customHeight="1" spans="1:8">
      <c r="A9" s="8" t="str">
        <f t="shared" si="0"/>
        <v>9013</v>
      </c>
      <c r="B9" s="6" t="str">
        <f>"90130101826"</f>
        <v>90130101826</v>
      </c>
      <c r="C9" s="6" t="str">
        <f>"王晨曦"</f>
        <v>王晨曦</v>
      </c>
      <c r="D9" s="6" t="str">
        <f t="shared" ref="D9:D14" si="3">"女"</f>
        <v>女</v>
      </c>
      <c r="E9" s="7">
        <v>77.9</v>
      </c>
      <c r="F9" s="7">
        <v>86.48</v>
      </c>
      <c r="G9" s="7">
        <v>82.19</v>
      </c>
      <c r="H9" s="6">
        <v>1</v>
      </c>
    </row>
    <row r="10" s="1" customFormat="1" ht="22" customHeight="1" spans="1:8">
      <c r="A10" s="8" t="str">
        <f t="shared" si="0"/>
        <v>9013</v>
      </c>
      <c r="B10" s="6" t="str">
        <f>"90130101323"</f>
        <v>90130101323</v>
      </c>
      <c r="C10" s="6" t="str">
        <f>"王曼伊"</f>
        <v>王曼伊</v>
      </c>
      <c r="D10" s="6" t="str">
        <f t="shared" si="3"/>
        <v>女</v>
      </c>
      <c r="E10" s="7">
        <v>74.7</v>
      </c>
      <c r="F10" s="7">
        <v>85.8</v>
      </c>
      <c r="G10" s="7">
        <v>80.25</v>
      </c>
      <c r="H10" s="6">
        <v>2</v>
      </c>
    </row>
    <row r="11" s="1" customFormat="1" ht="22" customHeight="1" spans="1:8">
      <c r="A11" s="8" t="str">
        <f t="shared" si="0"/>
        <v>9013</v>
      </c>
      <c r="B11" s="6" t="str">
        <f>"90130101803"</f>
        <v>90130101803</v>
      </c>
      <c r="C11" s="6" t="str">
        <f>"尚君"</f>
        <v>尚君</v>
      </c>
      <c r="D11" s="6" t="str">
        <f t="shared" ref="D11:D13" si="4">"男"</f>
        <v>男</v>
      </c>
      <c r="E11" s="7">
        <v>75.5</v>
      </c>
      <c r="F11" s="7">
        <v>78.72</v>
      </c>
      <c r="G11" s="7">
        <v>77.11</v>
      </c>
      <c r="H11" s="6">
        <v>3</v>
      </c>
    </row>
    <row r="12" s="1" customFormat="1" ht="22" customHeight="1" spans="1:8">
      <c r="A12" s="8" t="str">
        <f t="shared" si="0"/>
        <v>9021</v>
      </c>
      <c r="B12" s="6" t="str">
        <f>"90210102910"</f>
        <v>90210102910</v>
      </c>
      <c r="C12" s="6" t="str">
        <f>"李贵星"</f>
        <v>李贵星</v>
      </c>
      <c r="D12" s="6" t="str">
        <f t="shared" si="4"/>
        <v>男</v>
      </c>
      <c r="E12" s="7">
        <v>77.1</v>
      </c>
      <c r="F12" s="7">
        <v>83.94</v>
      </c>
      <c r="G12" s="7">
        <v>80.52</v>
      </c>
      <c r="H12" s="6">
        <v>1</v>
      </c>
    </row>
    <row r="13" s="1" customFormat="1" ht="22" customHeight="1" spans="1:8">
      <c r="A13" s="8" t="str">
        <f t="shared" si="0"/>
        <v>9021</v>
      </c>
      <c r="B13" s="6" t="str">
        <f>"90210102508"</f>
        <v>90210102508</v>
      </c>
      <c r="C13" s="6" t="str">
        <f>"张子恩"</f>
        <v>张子恩</v>
      </c>
      <c r="D13" s="6" t="str">
        <f t="shared" si="4"/>
        <v>男</v>
      </c>
      <c r="E13" s="7">
        <v>71.9</v>
      </c>
      <c r="F13" s="7">
        <v>82.8</v>
      </c>
      <c r="G13" s="7">
        <v>77.35</v>
      </c>
      <c r="H13" s="6">
        <v>2</v>
      </c>
    </row>
    <row r="14" s="1" customFormat="1" ht="22" customHeight="1" spans="1:8">
      <c r="A14" s="8" t="str">
        <f t="shared" si="0"/>
        <v>9021</v>
      </c>
      <c r="B14" s="6" t="str">
        <f>"90210102912"</f>
        <v>90210102912</v>
      </c>
      <c r="C14" s="6" t="str">
        <f>"金可欣"</f>
        <v>金可欣</v>
      </c>
      <c r="D14" s="6" t="str">
        <f t="shared" si="3"/>
        <v>女</v>
      </c>
      <c r="E14" s="7">
        <v>72.6</v>
      </c>
      <c r="F14" s="7">
        <v>79.84</v>
      </c>
      <c r="G14" s="7">
        <v>76.22</v>
      </c>
      <c r="H14" s="6">
        <v>3</v>
      </c>
    </row>
    <row r="15" s="1" customFormat="1" ht="22" customHeight="1" spans="1:8">
      <c r="A15" s="8" t="str">
        <f t="shared" si="0"/>
        <v>9021</v>
      </c>
      <c r="B15" s="6" t="str">
        <f>"90210102717"</f>
        <v>90210102717</v>
      </c>
      <c r="C15" s="6" t="str">
        <f>"吴迪"</f>
        <v>吴迪</v>
      </c>
      <c r="D15" s="6" t="str">
        <f>"男"</f>
        <v>男</v>
      </c>
      <c r="E15" s="7">
        <v>70.2</v>
      </c>
      <c r="F15" s="7">
        <v>81.72</v>
      </c>
      <c r="G15" s="7">
        <v>75.96</v>
      </c>
      <c r="H15" s="6">
        <v>4</v>
      </c>
    </row>
    <row r="16" s="1" customFormat="1" ht="22" customHeight="1" spans="1:8">
      <c r="A16" s="8" t="str">
        <f t="shared" si="0"/>
        <v>9021</v>
      </c>
      <c r="B16" s="6" t="str">
        <f>"90210102810"</f>
        <v>90210102810</v>
      </c>
      <c r="C16" s="6" t="str">
        <f>"秦兆筠"</f>
        <v>秦兆筠</v>
      </c>
      <c r="D16" s="6" t="str">
        <f t="shared" ref="D16:D25" si="5">"女"</f>
        <v>女</v>
      </c>
      <c r="E16" s="7">
        <v>71.1</v>
      </c>
      <c r="F16" s="7">
        <v>77.5</v>
      </c>
      <c r="G16" s="7">
        <v>74.3</v>
      </c>
      <c r="H16" s="6">
        <v>5</v>
      </c>
    </row>
    <row r="17" s="1" customFormat="1" ht="22" customHeight="1" spans="1:8">
      <c r="A17" s="8" t="str">
        <f t="shared" si="0"/>
        <v>9021</v>
      </c>
      <c r="B17" s="6" t="str">
        <f>"90210102709"</f>
        <v>90210102709</v>
      </c>
      <c r="C17" s="6" t="str">
        <f>"李硕"</f>
        <v>李硕</v>
      </c>
      <c r="D17" s="6" t="str">
        <f t="shared" si="5"/>
        <v>女</v>
      </c>
      <c r="E17" s="7">
        <v>70.4</v>
      </c>
      <c r="F17" s="7">
        <v>76.1</v>
      </c>
      <c r="G17" s="7">
        <v>73.25</v>
      </c>
      <c r="H17" s="6">
        <v>6</v>
      </c>
    </row>
    <row r="18" s="1" customFormat="1" ht="22" customHeight="1" spans="1:8">
      <c r="A18" s="8" t="str">
        <f t="shared" si="0"/>
        <v>9031</v>
      </c>
      <c r="B18" s="6" t="str">
        <f>"90310103810"</f>
        <v>90310103810</v>
      </c>
      <c r="C18" s="6" t="str">
        <f>"华远婷"</f>
        <v>华远婷</v>
      </c>
      <c r="D18" s="6" t="str">
        <f t="shared" si="5"/>
        <v>女</v>
      </c>
      <c r="E18" s="7">
        <v>74.1</v>
      </c>
      <c r="F18" s="7">
        <v>84.02</v>
      </c>
      <c r="G18" s="7">
        <v>79.06</v>
      </c>
      <c r="H18" s="6">
        <v>1</v>
      </c>
    </row>
    <row r="19" s="1" customFormat="1" ht="22" customHeight="1" spans="1:8">
      <c r="A19" s="8" t="str">
        <f t="shared" si="0"/>
        <v>9031</v>
      </c>
      <c r="B19" s="6" t="str">
        <f>"90310103602"</f>
        <v>90310103602</v>
      </c>
      <c r="C19" s="6" t="str">
        <f>"刘晓宇"</f>
        <v>刘晓宇</v>
      </c>
      <c r="D19" s="6" t="str">
        <f t="shared" si="5"/>
        <v>女</v>
      </c>
      <c r="E19" s="7">
        <v>74.1</v>
      </c>
      <c r="F19" s="7">
        <v>83.94</v>
      </c>
      <c r="G19" s="7">
        <v>79.02</v>
      </c>
      <c r="H19" s="6">
        <v>2</v>
      </c>
    </row>
    <row r="20" s="1" customFormat="1" ht="22" customHeight="1" spans="1:8">
      <c r="A20" s="8" t="str">
        <f t="shared" si="0"/>
        <v>9031</v>
      </c>
      <c r="B20" s="6" t="str">
        <f>"90310103722"</f>
        <v>90310103722</v>
      </c>
      <c r="C20" s="6" t="str">
        <f>"卢思玥"</f>
        <v>卢思玥</v>
      </c>
      <c r="D20" s="6" t="str">
        <f t="shared" si="5"/>
        <v>女</v>
      </c>
      <c r="E20" s="7">
        <v>72.7</v>
      </c>
      <c r="F20" s="7">
        <v>83.26</v>
      </c>
      <c r="G20" s="7">
        <v>77.98</v>
      </c>
      <c r="H20" s="6">
        <v>3</v>
      </c>
    </row>
    <row r="21" s="1" customFormat="1" ht="22" customHeight="1" spans="1:8">
      <c r="A21" s="8" t="str">
        <f t="shared" si="0"/>
        <v>9032</v>
      </c>
      <c r="B21" s="6" t="str">
        <f>"90320103912"</f>
        <v>90320103912</v>
      </c>
      <c r="C21" s="6" t="str">
        <f>"石培瑶"</f>
        <v>石培瑶</v>
      </c>
      <c r="D21" s="6" t="str">
        <f t="shared" si="5"/>
        <v>女</v>
      </c>
      <c r="E21" s="7">
        <v>70.4</v>
      </c>
      <c r="F21" s="7">
        <v>79.06</v>
      </c>
      <c r="G21" s="7">
        <v>74.73</v>
      </c>
      <c r="H21" s="6">
        <v>1</v>
      </c>
    </row>
    <row r="22" s="1" customFormat="1" ht="22" customHeight="1" spans="1:8">
      <c r="A22" s="8" t="str">
        <f t="shared" si="0"/>
        <v>9032</v>
      </c>
      <c r="B22" s="6" t="str">
        <f>"90320103924"</f>
        <v>90320103924</v>
      </c>
      <c r="C22" s="6" t="str">
        <f>"李瑞雪"</f>
        <v>李瑞雪</v>
      </c>
      <c r="D22" s="6" t="str">
        <f t="shared" si="5"/>
        <v>女</v>
      </c>
      <c r="E22" s="7">
        <v>68.7</v>
      </c>
      <c r="F22" s="7">
        <v>77.82</v>
      </c>
      <c r="G22" s="7">
        <v>73.26</v>
      </c>
      <c r="H22" s="6">
        <v>2</v>
      </c>
    </row>
    <row r="23" s="1" customFormat="1" ht="22" customHeight="1" spans="1:8">
      <c r="A23" s="8" t="str">
        <f t="shared" si="0"/>
        <v>9032</v>
      </c>
      <c r="B23" s="6" t="str">
        <f>"90320103916"</f>
        <v>90320103916</v>
      </c>
      <c r="C23" s="6" t="str">
        <f>"王宁"</f>
        <v>王宁</v>
      </c>
      <c r="D23" s="6" t="str">
        <f t="shared" si="5"/>
        <v>女</v>
      </c>
      <c r="E23" s="7">
        <v>72</v>
      </c>
      <c r="F23" s="7">
        <v>70.18</v>
      </c>
      <c r="G23" s="7">
        <v>71.09</v>
      </c>
      <c r="H23" s="6">
        <v>3</v>
      </c>
    </row>
    <row r="24" s="1" customFormat="1" ht="22" customHeight="1" spans="1:8">
      <c r="A24" s="8" t="str">
        <f t="shared" si="0"/>
        <v>9033</v>
      </c>
      <c r="B24" s="6" t="str">
        <f>"90330104421"</f>
        <v>90330104421</v>
      </c>
      <c r="C24" s="6" t="str">
        <f>"孟书静"</f>
        <v>孟书静</v>
      </c>
      <c r="D24" s="6" t="str">
        <f t="shared" si="5"/>
        <v>女</v>
      </c>
      <c r="E24" s="7">
        <v>73.4</v>
      </c>
      <c r="F24" s="7">
        <v>86.12</v>
      </c>
      <c r="G24" s="7">
        <v>79.76</v>
      </c>
      <c r="H24" s="6">
        <v>1</v>
      </c>
    </row>
    <row r="25" s="1" customFormat="1" ht="22" customHeight="1" spans="1:8">
      <c r="A25" s="8" t="str">
        <f t="shared" si="0"/>
        <v>9033</v>
      </c>
      <c r="B25" s="6" t="str">
        <f>"90330104216"</f>
        <v>90330104216</v>
      </c>
      <c r="C25" s="6" t="str">
        <f>"李玉颖"</f>
        <v>李玉颖</v>
      </c>
      <c r="D25" s="6" t="str">
        <f t="shared" si="5"/>
        <v>女</v>
      </c>
      <c r="E25" s="7">
        <v>73.1</v>
      </c>
      <c r="F25" s="7">
        <v>86.4</v>
      </c>
      <c r="G25" s="7">
        <v>79.75</v>
      </c>
      <c r="H25" s="6">
        <v>2</v>
      </c>
    </row>
    <row r="26" s="1" customFormat="1" ht="22" customHeight="1" spans="1:8">
      <c r="A26" s="8" t="str">
        <f t="shared" si="0"/>
        <v>9033</v>
      </c>
      <c r="B26" s="6" t="str">
        <f>"90330104124"</f>
        <v>90330104124</v>
      </c>
      <c r="C26" s="6" t="str">
        <f>"刘书豪"</f>
        <v>刘书豪</v>
      </c>
      <c r="D26" s="6" t="str">
        <f t="shared" ref="D26:D29" si="6">"男"</f>
        <v>男</v>
      </c>
      <c r="E26" s="7">
        <v>74.4</v>
      </c>
      <c r="F26" s="7">
        <v>85.02</v>
      </c>
      <c r="G26" s="7">
        <v>79.71</v>
      </c>
      <c r="H26" s="6">
        <v>3</v>
      </c>
    </row>
    <row r="27" s="1" customFormat="1" ht="22" customHeight="1" spans="1:8">
      <c r="A27" s="8" t="str">
        <f t="shared" si="0"/>
        <v>9034</v>
      </c>
      <c r="B27" s="6" t="str">
        <f>"90340104604"</f>
        <v>90340104604</v>
      </c>
      <c r="C27" s="6" t="str">
        <f>"温翔"</f>
        <v>温翔</v>
      </c>
      <c r="D27" s="6" t="str">
        <f t="shared" si="6"/>
        <v>男</v>
      </c>
      <c r="E27" s="7">
        <v>76.4</v>
      </c>
      <c r="F27" s="7">
        <v>82.48</v>
      </c>
      <c r="G27" s="7">
        <v>79.44</v>
      </c>
      <c r="H27" s="6">
        <v>1</v>
      </c>
    </row>
    <row r="28" s="1" customFormat="1" ht="22" customHeight="1" spans="1:8">
      <c r="A28" s="8" t="str">
        <f t="shared" si="0"/>
        <v>9034</v>
      </c>
      <c r="B28" s="6" t="str">
        <f>"90340104901"</f>
        <v>90340104901</v>
      </c>
      <c r="C28" s="6" t="str">
        <f>"刘琦"</f>
        <v>刘琦</v>
      </c>
      <c r="D28" s="6" t="str">
        <f t="shared" ref="D28:D32" si="7">"女"</f>
        <v>女</v>
      </c>
      <c r="E28" s="7">
        <v>76.7</v>
      </c>
      <c r="F28" s="7">
        <v>78.48</v>
      </c>
      <c r="G28" s="7">
        <v>77.59</v>
      </c>
      <c r="H28" s="6">
        <v>2</v>
      </c>
    </row>
    <row r="29" s="1" customFormat="1" ht="22" customHeight="1" spans="1:8">
      <c r="A29" s="8" t="str">
        <f t="shared" si="0"/>
        <v>9034</v>
      </c>
      <c r="B29" s="6" t="str">
        <f>"90340104726"</f>
        <v>90340104726</v>
      </c>
      <c r="C29" s="6" t="str">
        <f>"张梦遥"</f>
        <v>张梦遥</v>
      </c>
      <c r="D29" s="6" t="str">
        <f t="shared" si="6"/>
        <v>男</v>
      </c>
      <c r="E29" s="7">
        <v>83.1</v>
      </c>
      <c r="F29" s="7">
        <v>70.94</v>
      </c>
      <c r="G29" s="7">
        <v>77.02</v>
      </c>
      <c r="H29" s="6">
        <v>3</v>
      </c>
    </row>
    <row r="30" s="1" customFormat="1" ht="22" customHeight="1" spans="1:8">
      <c r="A30" s="8" t="str">
        <f t="shared" si="0"/>
        <v>9041</v>
      </c>
      <c r="B30" s="6" t="str">
        <f>"90410206310"</f>
        <v>90410206310</v>
      </c>
      <c r="C30" s="6" t="str">
        <f>"郭怡心"</f>
        <v>郭怡心</v>
      </c>
      <c r="D30" s="6" t="str">
        <f t="shared" si="7"/>
        <v>女</v>
      </c>
      <c r="E30" s="7">
        <v>88.3</v>
      </c>
      <c r="F30" s="7">
        <v>78.18</v>
      </c>
      <c r="G30" s="7">
        <v>83.24</v>
      </c>
      <c r="H30" s="6">
        <v>1</v>
      </c>
    </row>
    <row r="31" s="1" customFormat="1" ht="22" customHeight="1" spans="1:8">
      <c r="A31" s="8" t="str">
        <f t="shared" si="0"/>
        <v>9041</v>
      </c>
      <c r="B31" s="6" t="str">
        <f>"90410105701"</f>
        <v>90410105701</v>
      </c>
      <c r="C31" s="6" t="str">
        <f>"赵步昕"</f>
        <v>赵步昕</v>
      </c>
      <c r="D31" s="6" t="str">
        <f t="shared" ref="D31:D34" si="8">"男"</f>
        <v>男</v>
      </c>
      <c r="E31" s="7">
        <v>76.1</v>
      </c>
      <c r="F31" s="7">
        <v>85.56</v>
      </c>
      <c r="G31" s="7">
        <v>80.83</v>
      </c>
      <c r="H31" s="6">
        <v>2</v>
      </c>
    </row>
    <row r="32" s="1" customFormat="1" ht="22" customHeight="1" spans="1:8">
      <c r="A32" s="8" t="str">
        <f t="shared" si="0"/>
        <v>9041</v>
      </c>
      <c r="B32" s="6" t="str">
        <f>"90410206802"</f>
        <v>90410206802</v>
      </c>
      <c r="C32" s="6" t="str">
        <f>"郑莉"</f>
        <v>郑莉</v>
      </c>
      <c r="D32" s="6" t="str">
        <f t="shared" si="7"/>
        <v>女</v>
      </c>
      <c r="E32" s="7">
        <v>74.8</v>
      </c>
      <c r="F32" s="7">
        <v>84.24</v>
      </c>
      <c r="G32" s="7">
        <v>79.52</v>
      </c>
      <c r="H32" s="6">
        <v>3</v>
      </c>
    </row>
    <row r="33" s="1" customFormat="1" ht="22" customHeight="1" spans="1:8">
      <c r="A33" s="8" t="str">
        <f t="shared" si="0"/>
        <v>9041</v>
      </c>
      <c r="B33" s="6" t="str">
        <f>"90410206503"</f>
        <v>90410206503</v>
      </c>
      <c r="C33" s="6" t="str">
        <f>"郑成宇"</f>
        <v>郑成宇</v>
      </c>
      <c r="D33" s="6" t="str">
        <f t="shared" si="8"/>
        <v>男</v>
      </c>
      <c r="E33" s="7">
        <v>75</v>
      </c>
      <c r="F33" s="7">
        <v>83.88</v>
      </c>
      <c r="G33" s="7">
        <v>79.44</v>
      </c>
      <c r="H33" s="6">
        <v>4</v>
      </c>
    </row>
    <row r="34" s="1" customFormat="1" ht="22" customHeight="1" spans="1:8">
      <c r="A34" s="8" t="str">
        <f t="shared" si="0"/>
        <v>9041</v>
      </c>
      <c r="B34" s="6" t="str">
        <f>"90410105604"</f>
        <v>90410105604</v>
      </c>
      <c r="C34" s="6" t="str">
        <f>"冯苑翔"</f>
        <v>冯苑翔</v>
      </c>
      <c r="D34" s="6" t="str">
        <f t="shared" si="8"/>
        <v>男</v>
      </c>
      <c r="E34" s="7">
        <v>74.8</v>
      </c>
      <c r="F34" s="7">
        <v>83.56</v>
      </c>
      <c r="G34" s="7">
        <v>79.18</v>
      </c>
      <c r="H34" s="6">
        <v>5</v>
      </c>
    </row>
    <row r="35" s="1" customFormat="1" ht="22" customHeight="1" spans="1:8">
      <c r="A35" s="8" t="str">
        <f t="shared" si="0"/>
        <v>9041</v>
      </c>
      <c r="B35" s="6" t="str">
        <f>"90410207610"</f>
        <v>90410207610</v>
      </c>
      <c r="C35" s="6" t="str">
        <f>"郭彦彦"</f>
        <v>郭彦彦</v>
      </c>
      <c r="D35" s="6" t="str">
        <f t="shared" ref="D35:D38" si="9">"女"</f>
        <v>女</v>
      </c>
      <c r="E35" s="7">
        <v>75.5</v>
      </c>
      <c r="F35" s="7">
        <v>82.42</v>
      </c>
      <c r="G35" s="7">
        <v>78.96</v>
      </c>
      <c r="H35" s="6">
        <v>6</v>
      </c>
    </row>
    <row r="36" s="1" customFormat="1" ht="22" customHeight="1" spans="1:8">
      <c r="A36" s="8" t="str">
        <f t="shared" si="0"/>
        <v>9041</v>
      </c>
      <c r="B36" s="6" t="str">
        <f>"90410106020"</f>
        <v>90410106020</v>
      </c>
      <c r="C36" s="6" t="str">
        <f>"韩鲁青"</f>
        <v>韩鲁青</v>
      </c>
      <c r="D36" s="6" t="str">
        <f t="shared" si="9"/>
        <v>女</v>
      </c>
      <c r="E36" s="7">
        <v>73.8</v>
      </c>
      <c r="F36" s="7">
        <v>82.9</v>
      </c>
      <c r="G36" s="7">
        <v>78.35</v>
      </c>
      <c r="H36" s="6">
        <v>7</v>
      </c>
    </row>
    <row r="37" s="1" customFormat="1" ht="22" customHeight="1" spans="1:8">
      <c r="A37" s="8" t="str">
        <f t="shared" si="0"/>
        <v>9041</v>
      </c>
      <c r="B37" s="6" t="str">
        <f>"90410207613"</f>
        <v>90410207613</v>
      </c>
      <c r="C37" s="6" t="str">
        <f>"谢平茹"</f>
        <v>谢平茹</v>
      </c>
      <c r="D37" s="6" t="str">
        <f t="shared" si="9"/>
        <v>女</v>
      </c>
      <c r="E37" s="7">
        <v>72.3</v>
      </c>
      <c r="F37" s="7">
        <v>84.36</v>
      </c>
      <c r="G37" s="7">
        <v>78.33</v>
      </c>
      <c r="H37" s="6">
        <v>8</v>
      </c>
    </row>
    <row r="38" s="1" customFormat="1" ht="22" customHeight="1" spans="1:8">
      <c r="A38" s="8" t="str">
        <f t="shared" si="0"/>
        <v>9041</v>
      </c>
      <c r="B38" s="6" t="str">
        <f>"90410207119"</f>
        <v>90410207119</v>
      </c>
      <c r="C38" s="6" t="str">
        <f>"刘毅"</f>
        <v>刘毅</v>
      </c>
      <c r="D38" s="6" t="str">
        <f t="shared" si="9"/>
        <v>女</v>
      </c>
      <c r="E38" s="7">
        <v>73.5</v>
      </c>
      <c r="F38" s="7">
        <v>82.88</v>
      </c>
      <c r="G38" s="7">
        <v>78.19</v>
      </c>
      <c r="H38" s="6">
        <v>9</v>
      </c>
    </row>
    <row r="39" s="1" customFormat="1" ht="22" customHeight="1" spans="1:8">
      <c r="A39" s="8" t="str">
        <f t="shared" si="0"/>
        <v>9041</v>
      </c>
      <c r="B39" s="6" t="str">
        <f>"90410207430"</f>
        <v>90410207430</v>
      </c>
      <c r="C39" s="6" t="str">
        <f>"李少卿"</f>
        <v>李少卿</v>
      </c>
      <c r="D39" s="6" t="str">
        <f>"男"</f>
        <v>男</v>
      </c>
      <c r="E39" s="7">
        <v>73.7</v>
      </c>
      <c r="F39" s="7">
        <v>81.68</v>
      </c>
      <c r="G39" s="7">
        <v>77.69</v>
      </c>
      <c r="H39" s="6">
        <v>10</v>
      </c>
    </row>
    <row r="40" s="1" customFormat="1" ht="22" customHeight="1" spans="1:8">
      <c r="A40" s="8" t="str">
        <f t="shared" si="0"/>
        <v>9041</v>
      </c>
      <c r="B40" s="6" t="str">
        <f>"90410207030"</f>
        <v>90410207030</v>
      </c>
      <c r="C40" s="6" t="str">
        <f>"王皓玉"</f>
        <v>王皓玉</v>
      </c>
      <c r="D40" s="6" t="str">
        <f t="shared" ref="D40:D42" si="10">"女"</f>
        <v>女</v>
      </c>
      <c r="E40" s="7">
        <v>73.3</v>
      </c>
      <c r="F40" s="7">
        <v>81.12</v>
      </c>
      <c r="G40" s="7">
        <v>77.21</v>
      </c>
      <c r="H40" s="6">
        <v>11</v>
      </c>
    </row>
    <row r="41" s="1" customFormat="1" ht="22" customHeight="1" spans="1:8">
      <c r="A41" s="8" t="str">
        <f t="shared" si="0"/>
        <v>9041</v>
      </c>
      <c r="B41" s="6" t="str">
        <f>"90410206603"</f>
        <v>90410206603</v>
      </c>
      <c r="C41" s="6" t="str">
        <f>"马会杰"</f>
        <v>马会杰</v>
      </c>
      <c r="D41" s="6" t="str">
        <f t="shared" si="10"/>
        <v>女</v>
      </c>
      <c r="E41" s="7">
        <v>74</v>
      </c>
      <c r="F41" s="7">
        <v>80.12</v>
      </c>
      <c r="G41" s="7">
        <v>77.06</v>
      </c>
      <c r="H41" s="6">
        <v>12</v>
      </c>
    </row>
    <row r="42" s="1" customFormat="1" ht="22" customHeight="1" spans="1:8">
      <c r="A42" s="8" t="str">
        <f t="shared" si="0"/>
        <v>9041</v>
      </c>
      <c r="B42" s="6" t="str">
        <f>"90410105120"</f>
        <v>90410105120</v>
      </c>
      <c r="C42" s="6" t="str">
        <f>"冯琮芸"</f>
        <v>冯琮芸</v>
      </c>
      <c r="D42" s="6" t="str">
        <f t="shared" si="10"/>
        <v>女</v>
      </c>
      <c r="E42" s="7">
        <v>73.5</v>
      </c>
      <c r="F42" s="7">
        <v>80.58</v>
      </c>
      <c r="G42" s="7">
        <v>77.04</v>
      </c>
      <c r="H42" s="6">
        <v>13</v>
      </c>
    </row>
    <row r="43" s="1" customFormat="1" ht="22" customHeight="1" spans="1:8">
      <c r="A43" s="8" t="str">
        <f t="shared" si="0"/>
        <v>9041</v>
      </c>
      <c r="B43" s="6" t="str">
        <f>"90410207903"</f>
        <v>90410207903</v>
      </c>
      <c r="C43" s="6" t="str">
        <f>"苑国玺"</f>
        <v>苑国玺</v>
      </c>
      <c r="D43" s="6" t="str">
        <f>"男"</f>
        <v>男</v>
      </c>
      <c r="E43" s="7">
        <v>73.3</v>
      </c>
      <c r="F43" s="7">
        <v>79.66</v>
      </c>
      <c r="G43" s="7">
        <v>76.48</v>
      </c>
      <c r="H43" s="6">
        <v>14</v>
      </c>
    </row>
    <row r="44" s="1" customFormat="1" ht="22" customHeight="1" spans="1:8">
      <c r="A44" s="8" t="str">
        <f t="shared" si="0"/>
        <v>9041</v>
      </c>
      <c r="B44" s="6" t="str">
        <f>"90410105104"</f>
        <v>90410105104</v>
      </c>
      <c r="C44" s="6" t="str">
        <f>"薛力铭"</f>
        <v>薛力铭</v>
      </c>
      <c r="D44" s="6" t="str">
        <f t="shared" ref="D44:D47" si="11">"女"</f>
        <v>女</v>
      </c>
      <c r="E44" s="7">
        <v>74.3</v>
      </c>
      <c r="F44" s="7">
        <v>78</v>
      </c>
      <c r="G44" s="7">
        <v>76.15</v>
      </c>
      <c r="H44" s="6">
        <v>15</v>
      </c>
    </row>
    <row r="45" s="1" customFormat="1" ht="22" customHeight="1" spans="1:8">
      <c r="A45" s="8" t="str">
        <f t="shared" si="0"/>
        <v>9041</v>
      </c>
      <c r="B45" s="6" t="str">
        <f>"90410206114"</f>
        <v>90410206114</v>
      </c>
      <c r="C45" s="6" t="str">
        <f>"李蓥"</f>
        <v>李蓥</v>
      </c>
      <c r="D45" s="6" t="str">
        <f t="shared" si="11"/>
        <v>女</v>
      </c>
      <c r="E45" s="7">
        <v>74.2</v>
      </c>
      <c r="F45" s="7">
        <v>77.8</v>
      </c>
      <c r="G45" s="7">
        <v>76</v>
      </c>
      <c r="H45" s="6">
        <v>16</v>
      </c>
    </row>
    <row r="46" s="1" customFormat="1" ht="22" customHeight="1" spans="1:8">
      <c r="A46" s="8" t="str">
        <f t="shared" si="0"/>
        <v>9041</v>
      </c>
      <c r="B46" s="6" t="str">
        <f>"90410105827"</f>
        <v>90410105827</v>
      </c>
      <c r="C46" s="6" t="str">
        <f>"刘真"</f>
        <v>刘真</v>
      </c>
      <c r="D46" s="6" t="str">
        <f t="shared" si="11"/>
        <v>女</v>
      </c>
      <c r="E46" s="7">
        <v>72</v>
      </c>
      <c r="F46" s="7">
        <v>79.74</v>
      </c>
      <c r="G46" s="7">
        <v>75.87</v>
      </c>
      <c r="H46" s="6">
        <v>17</v>
      </c>
    </row>
    <row r="47" s="1" customFormat="1" ht="22" customHeight="1" spans="1:8">
      <c r="A47" s="8" t="str">
        <f t="shared" si="0"/>
        <v>9041</v>
      </c>
      <c r="B47" s="6" t="str">
        <f>"90410207129"</f>
        <v>90410207129</v>
      </c>
      <c r="C47" s="6" t="str">
        <f>"张彩云"</f>
        <v>张彩云</v>
      </c>
      <c r="D47" s="6" t="str">
        <f t="shared" si="11"/>
        <v>女</v>
      </c>
      <c r="E47" s="7">
        <v>72</v>
      </c>
      <c r="F47" s="7">
        <v>76.9</v>
      </c>
      <c r="G47" s="7">
        <v>74.45</v>
      </c>
      <c r="H47" s="6">
        <v>18</v>
      </c>
    </row>
    <row r="48" s="1" customFormat="1" ht="22" customHeight="1" spans="1:8">
      <c r="A48" s="8" t="str">
        <f t="shared" si="0"/>
        <v>9041</v>
      </c>
      <c r="B48" s="6" t="str">
        <f>"90410105903"</f>
        <v>90410105903</v>
      </c>
      <c r="C48" s="6" t="str">
        <f>"李孟霖"</f>
        <v>李孟霖</v>
      </c>
      <c r="D48" s="6" t="str">
        <f t="shared" ref="D48:D53" si="12">"男"</f>
        <v>男</v>
      </c>
      <c r="E48" s="7">
        <v>72.8</v>
      </c>
      <c r="F48" s="7">
        <v>75.4</v>
      </c>
      <c r="G48" s="7">
        <v>74.1</v>
      </c>
      <c r="H48" s="6">
        <v>19</v>
      </c>
    </row>
    <row r="49" s="1" customFormat="1" ht="22" customHeight="1" spans="1:8">
      <c r="A49" s="8" t="str">
        <f t="shared" si="0"/>
        <v>9041</v>
      </c>
      <c r="B49" s="6" t="str">
        <f>"90410207301"</f>
        <v>90410207301</v>
      </c>
      <c r="C49" s="6" t="str">
        <f>"李云燕"</f>
        <v>李云燕</v>
      </c>
      <c r="D49" s="6" t="str">
        <f t="shared" ref="D49:D52" si="13">"女"</f>
        <v>女</v>
      </c>
      <c r="E49" s="7">
        <v>72.6</v>
      </c>
      <c r="F49" s="7">
        <v>74.72</v>
      </c>
      <c r="G49" s="7">
        <v>73.66</v>
      </c>
      <c r="H49" s="6">
        <v>20</v>
      </c>
    </row>
    <row r="50" s="1" customFormat="1" ht="22" customHeight="1" spans="1:8">
      <c r="A50" s="8" t="str">
        <f t="shared" si="0"/>
        <v>9041</v>
      </c>
      <c r="B50" s="6" t="str">
        <f>"90410207106"</f>
        <v>90410207106</v>
      </c>
      <c r="C50" s="6" t="str">
        <f>"赵鼎"</f>
        <v>赵鼎</v>
      </c>
      <c r="D50" s="6" t="str">
        <f t="shared" si="12"/>
        <v>男</v>
      </c>
      <c r="E50" s="7">
        <v>72.7</v>
      </c>
      <c r="F50" s="7">
        <v>72.8</v>
      </c>
      <c r="G50" s="7">
        <v>72.75</v>
      </c>
      <c r="H50" s="6">
        <v>21</v>
      </c>
    </row>
    <row r="51" s="1" customFormat="1" ht="22" customHeight="1" spans="1:8">
      <c r="A51" s="8" t="str">
        <f t="shared" si="0"/>
        <v>9051</v>
      </c>
      <c r="B51" s="6" t="str">
        <f>"90510208303"</f>
        <v>90510208303</v>
      </c>
      <c r="C51" s="6" t="str">
        <f>"李忱阳"</f>
        <v>李忱阳</v>
      </c>
      <c r="D51" s="6" t="str">
        <f t="shared" si="13"/>
        <v>女</v>
      </c>
      <c r="E51" s="7">
        <v>72</v>
      </c>
      <c r="F51" s="7">
        <v>84.7</v>
      </c>
      <c r="G51" s="7">
        <v>78.35</v>
      </c>
      <c r="H51" s="6">
        <v>1</v>
      </c>
    </row>
    <row r="52" s="1" customFormat="1" ht="22" customHeight="1" spans="1:8">
      <c r="A52" s="8" t="str">
        <f t="shared" si="0"/>
        <v>9051</v>
      </c>
      <c r="B52" s="6" t="str">
        <f>"90510208217"</f>
        <v>90510208217</v>
      </c>
      <c r="C52" s="6" t="str">
        <f>"王颖"</f>
        <v>王颖</v>
      </c>
      <c r="D52" s="6" t="str">
        <f t="shared" si="13"/>
        <v>女</v>
      </c>
      <c r="E52" s="7">
        <v>72</v>
      </c>
      <c r="F52" s="7">
        <v>83.18</v>
      </c>
      <c r="G52" s="7">
        <v>77.59</v>
      </c>
      <c r="H52" s="6">
        <v>2</v>
      </c>
    </row>
    <row r="53" s="1" customFormat="1" ht="22" customHeight="1" spans="1:8">
      <c r="A53" s="8" t="str">
        <f t="shared" si="0"/>
        <v>9051</v>
      </c>
      <c r="B53" s="6" t="str">
        <f>"90510208410"</f>
        <v>90510208410</v>
      </c>
      <c r="C53" s="6" t="str">
        <f>"冯远"</f>
        <v>冯远</v>
      </c>
      <c r="D53" s="6" t="str">
        <f t="shared" si="12"/>
        <v>男</v>
      </c>
      <c r="E53" s="7">
        <v>69.1</v>
      </c>
      <c r="F53" s="7">
        <v>82.24</v>
      </c>
      <c r="G53" s="7">
        <v>75.67</v>
      </c>
      <c r="H53" s="6">
        <v>3</v>
      </c>
    </row>
    <row r="54" s="1" customFormat="1" ht="22" customHeight="1" spans="1:8">
      <c r="A54" s="8" t="str">
        <f t="shared" si="0"/>
        <v>9051</v>
      </c>
      <c r="B54" s="6" t="str">
        <f>"90510208320"</f>
        <v>90510208320</v>
      </c>
      <c r="C54" s="6" t="str">
        <f>"宋风霞"</f>
        <v>宋风霞</v>
      </c>
      <c r="D54" s="6" t="str">
        <f t="shared" ref="D54:D58" si="14">"女"</f>
        <v>女</v>
      </c>
      <c r="E54" s="7">
        <v>70</v>
      </c>
      <c r="F54" s="7">
        <v>78.38</v>
      </c>
      <c r="G54" s="7">
        <v>74.19</v>
      </c>
      <c r="H54" s="6">
        <v>4</v>
      </c>
    </row>
    <row r="55" s="1" customFormat="1" ht="22" customHeight="1" spans="1:8">
      <c r="A55" s="8" t="str">
        <f t="shared" si="0"/>
        <v>9051</v>
      </c>
      <c r="B55" s="6" t="str">
        <f>"90510208412"</f>
        <v>90510208412</v>
      </c>
      <c r="C55" s="6" t="str">
        <f>"张冠华"</f>
        <v>张冠华</v>
      </c>
      <c r="D55" s="6" t="str">
        <f t="shared" si="14"/>
        <v>女</v>
      </c>
      <c r="E55" s="7">
        <v>69.2</v>
      </c>
      <c r="F55" s="7">
        <v>76.64</v>
      </c>
      <c r="G55" s="7">
        <v>72.92</v>
      </c>
      <c r="H55" s="6">
        <v>5</v>
      </c>
    </row>
    <row r="56" s="1" customFormat="1" ht="22" customHeight="1" spans="1:8">
      <c r="A56" s="8" t="str">
        <f t="shared" si="0"/>
        <v>9051</v>
      </c>
      <c r="B56" s="6" t="str">
        <f>"90510208306"</f>
        <v>90510208306</v>
      </c>
      <c r="C56" s="6" t="str">
        <f>"陈睿宇"</f>
        <v>陈睿宇</v>
      </c>
      <c r="D56" s="6" t="str">
        <f>"男"</f>
        <v>男</v>
      </c>
      <c r="E56" s="7">
        <v>71</v>
      </c>
      <c r="F56" s="7">
        <v>70.6</v>
      </c>
      <c r="G56" s="7">
        <v>70.8</v>
      </c>
      <c r="H56" s="6">
        <v>6</v>
      </c>
    </row>
    <row r="57" s="1" customFormat="1" ht="22" customHeight="1" spans="1:8">
      <c r="A57" s="8" t="str">
        <f t="shared" si="0"/>
        <v>9052</v>
      </c>
      <c r="B57" s="6" t="str">
        <f>"90520208706"</f>
        <v>90520208706</v>
      </c>
      <c r="C57" s="6" t="str">
        <f>"杨珮诺"</f>
        <v>杨珮诺</v>
      </c>
      <c r="D57" s="6" t="str">
        <f t="shared" si="14"/>
        <v>女</v>
      </c>
      <c r="E57" s="7">
        <v>72.5</v>
      </c>
      <c r="F57" s="7">
        <v>83.96</v>
      </c>
      <c r="G57" s="7">
        <v>78.23</v>
      </c>
      <c r="H57" s="6">
        <v>1</v>
      </c>
    </row>
    <row r="58" s="1" customFormat="1" ht="22" customHeight="1" spans="1:8">
      <c r="A58" s="8" t="str">
        <f t="shared" si="0"/>
        <v>9052</v>
      </c>
      <c r="B58" s="6" t="str">
        <f>"90520208704"</f>
        <v>90520208704</v>
      </c>
      <c r="C58" s="6" t="str">
        <f>"王嘉琳"</f>
        <v>王嘉琳</v>
      </c>
      <c r="D58" s="6" t="str">
        <f t="shared" si="14"/>
        <v>女</v>
      </c>
      <c r="E58" s="7">
        <v>75.5</v>
      </c>
      <c r="F58" s="7">
        <v>77.62</v>
      </c>
      <c r="G58" s="7">
        <v>76.56</v>
      </c>
      <c r="H58" s="6">
        <v>2</v>
      </c>
    </row>
    <row r="59" s="1" customFormat="1" ht="22" customHeight="1" spans="1:8">
      <c r="A59" s="8" t="str">
        <f t="shared" si="0"/>
        <v>9052</v>
      </c>
      <c r="B59" s="6" t="str">
        <f>"90520208524"</f>
        <v>90520208524</v>
      </c>
      <c r="C59" s="6" t="str">
        <f>"姜蔚民"</f>
        <v>姜蔚民</v>
      </c>
      <c r="D59" s="6" t="str">
        <f>"男"</f>
        <v>男</v>
      </c>
      <c r="E59" s="7">
        <v>74.9</v>
      </c>
      <c r="F59" s="7">
        <v>76.56</v>
      </c>
      <c r="G59" s="7">
        <v>75.73</v>
      </c>
      <c r="H59" s="6">
        <v>3</v>
      </c>
    </row>
    <row r="60" s="1" customFormat="1" ht="22" customHeight="1" spans="1:8">
      <c r="A60" s="8" t="str">
        <f t="shared" si="0"/>
        <v>9053</v>
      </c>
      <c r="B60" s="6" t="str">
        <f>"90530208711"</f>
        <v>90530208711</v>
      </c>
      <c r="C60" s="6" t="str">
        <f>"王妍"</f>
        <v>王妍</v>
      </c>
      <c r="D60" s="6" t="str">
        <f t="shared" ref="D60:D63" si="15">"女"</f>
        <v>女</v>
      </c>
      <c r="E60" s="7">
        <v>73.7</v>
      </c>
      <c r="F60" s="7">
        <v>79.44</v>
      </c>
      <c r="G60" s="7">
        <v>76.57</v>
      </c>
      <c r="H60" s="6">
        <v>1</v>
      </c>
    </row>
    <row r="61" s="1" customFormat="1" ht="22" customHeight="1" spans="1:8">
      <c r="A61" s="8" t="str">
        <f t="shared" si="0"/>
        <v>9053</v>
      </c>
      <c r="B61" s="6" t="str">
        <f>"90530208818"</f>
        <v>90530208818</v>
      </c>
      <c r="C61" s="6" t="str">
        <f>"侯梦珠"</f>
        <v>侯梦珠</v>
      </c>
      <c r="D61" s="6" t="str">
        <f t="shared" si="15"/>
        <v>女</v>
      </c>
      <c r="E61" s="7">
        <v>72.8</v>
      </c>
      <c r="F61" s="7">
        <v>75.1</v>
      </c>
      <c r="G61" s="7">
        <v>73.95</v>
      </c>
      <c r="H61" s="6">
        <v>2</v>
      </c>
    </row>
    <row r="62" s="1" customFormat="1" ht="22" customHeight="1" spans="1:8">
      <c r="A62" s="8" t="str">
        <f t="shared" si="0"/>
        <v>9053</v>
      </c>
      <c r="B62" s="6" t="str">
        <f>"90530209110"</f>
        <v>90530209110</v>
      </c>
      <c r="C62" s="6" t="str">
        <f>"贠开"</f>
        <v>贠开</v>
      </c>
      <c r="D62" s="6" t="str">
        <f t="shared" si="15"/>
        <v>女</v>
      </c>
      <c r="E62" s="7">
        <v>73.3</v>
      </c>
      <c r="F62" s="7">
        <v>74.18</v>
      </c>
      <c r="G62" s="7">
        <v>73.74</v>
      </c>
      <c r="H62" s="6">
        <v>3</v>
      </c>
    </row>
    <row r="63" s="1" customFormat="1" ht="22" customHeight="1" spans="1:8">
      <c r="A63" s="8" t="str">
        <f t="shared" si="0"/>
        <v>9054</v>
      </c>
      <c r="B63" s="6" t="str">
        <f>"90540310125"</f>
        <v>90540310125</v>
      </c>
      <c r="C63" s="6" t="str">
        <f>"张彤"</f>
        <v>张彤</v>
      </c>
      <c r="D63" s="6" t="str">
        <f t="shared" si="15"/>
        <v>女</v>
      </c>
      <c r="E63" s="7">
        <v>74.1</v>
      </c>
      <c r="F63" s="7">
        <v>85.78</v>
      </c>
      <c r="G63" s="7">
        <v>79.94</v>
      </c>
      <c r="H63" s="6">
        <v>1</v>
      </c>
    </row>
    <row r="64" s="1" customFormat="1" ht="22" customHeight="1" spans="1:8">
      <c r="A64" s="8" t="str">
        <f t="shared" si="0"/>
        <v>9054</v>
      </c>
      <c r="B64" s="6" t="str">
        <f>"90540209413"</f>
        <v>90540209413</v>
      </c>
      <c r="C64" s="6" t="str">
        <f>"张坤"</f>
        <v>张坤</v>
      </c>
      <c r="D64" s="6" t="str">
        <f t="shared" ref="D64:D69" si="16">"男"</f>
        <v>男</v>
      </c>
      <c r="E64" s="7">
        <v>73.1</v>
      </c>
      <c r="F64" s="7">
        <v>83.36</v>
      </c>
      <c r="G64" s="7">
        <v>78.23</v>
      </c>
      <c r="H64" s="6">
        <v>2</v>
      </c>
    </row>
    <row r="65" s="1" customFormat="1" ht="22" customHeight="1" spans="1:8">
      <c r="A65" s="8" t="str">
        <f t="shared" si="0"/>
        <v>9054</v>
      </c>
      <c r="B65" s="6" t="str">
        <f>"90540310907"</f>
        <v>90540310907</v>
      </c>
      <c r="C65" s="6" t="str">
        <f>"梁廷滨"</f>
        <v>梁廷滨</v>
      </c>
      <c r="D65" s="6" t="str">
        <f t="shared" si="16"/>
        <v>男</v>
      </c>
      <c r="E65" s="7">
        <v>74.6</v>
      </c>
      <c r="F65" s="7">
        <v>80.66</v>
      </c>
      <c r="G65" s="7">
        <v>77.63</v>
      </c>
      <c r="H65" s="6">
        <v>3</v>
      </c>
    </row>
    <row r="66" s="1" customFormat="1" ht="22" customHeight="1" spans="1:8">
      <c r="A66" s="8" t="str">
        <f t="shared" si="0"/>
        <v>9054</v>
      </c>
      <c r="B66" s="6" t="str">
        <f>"90540209223"</f>
        <v>90540209223</v>
      </c>
      <c r="C66" s="6" t="str">
        <f>"张文磊"</f>
        <v>张文磊</v>
      </c>
      <c r="D66" s="6" t="str">
        <f t="shared" si="16"/>
        <v>男</v>
      </c>
      <c r="E66" s="7">
        <v>73.7</v>
      </c>
      <c r="F66" s="7">
        <v>80.04</v>
      </c>
      <c r="G66" s="7">
        <v>76.87</v>
      </c>
      <c r="H66" s="6">
        <v>4</v>
      </c>
    </row>
    <row r="67" s="1" customFormat="1" ht="22" customHeight="1" spans="1:8">
      <c r="A67" s="8" t="str">
        <f t="shared" ref="A67:A130" si="17">MID(B67,1,4)</f>
        <v>9054</v>
      </c>
      <c r="B67" s="6" t="str">
        <f>"90540310626"</f>
        <v>90540310626</v>
      </c>
      <c r="C67" s="6" t="str">
        <f>"黄春雨"</f>
        <v>黄春雨</v>
      </c>
      <c r="D67" s="6" t="str">
        <f t="shared" si="16"/>
        <v>男</v>
      </c>
      <c r="E67" s="7">
        <v>72.1</v>
      </c>
      <c r="F67" s="7">
        <v>81.18</v>
      </c>
      <c r="G67" s="7">
        <v>76.64</v>
      </c>
      <c r="H67" s="6">
        <v>5</v>
      </c>
    </row>
    <row r="68" s="1" customFormat="1" ht="22" customHeight="1" spans="1:8">
      <c r="A68" s="8" t="str">
        <f t="shared" si="17"/>
        <v>9054</v>
      </c>
      <c r="B68" s="6" t="str">
        <f>"90540310406"</f>
        <v>90540310406</v>
      </c>
      <c r="C68" s="6" t="str">
        <f>"张浩鑫"</f>
        <v>张浩鑫</v>
      </c>
      <c r="D68" s="6" t="str">
        <f t="shared" si="16"/>
        <v>男</v>
      </c>
      <c r="E68" s="7">
        <v>72.6</v>
      </c>
      <c r="F68" s="7">
        <v>79.02</v>
      </c>
      <c r="G68" s="7">
        <v>75.81</v>
      </c>
      <c r="H68" s="6">
        <v>6</v>
      </c>
    </row>
    <row r="69" s="1" customFormat="1" ht="22" customHeight="1" spans="1:8">
      <c r="A69" s="8" t="str">
        <f t="shared" si="17"/>
        <v>9054</v>
      </c>
      <c r="B69" s="6" t="str">
        <f>"90540309925"</f>
        <v>90540309925</v>
      </c>
      <c r="C69" s="6" t="str">
        <f>"雷振浩"</f>
        <v>雷振浩</v>
      </c>
      <c r="D69" s="6" t="str">
        <f t="shared" si="16"/>
        <v>男</v>
      </c>
      <c r="E69" s="7">
        <v>72.1</v>
      </c>
      <c r="F69" s="7">
        <v>77.92</v>
      </c>
      <c r="G69" s="7">
        <v>75.01</v>
      </c>
      <c r="H69" s="6">
        <v>7</v>
      </c>
    </row>
    <row r="70" s="1" customFormat="1" ht="22" customHeight="1" spans="1:8">
      <c r="A70" s="8" t="str">
        <f t="shared" si="17"/>
        <v>9055</v>
      </c>
      <c r="B70" s="6" t="str">
        <f>"90550311822"</f>
        <v>90550311822</v>
      </c>
      <c r="C70" s="6" t="str">
        <f>"王金依"</f>
        <v>王金依</v>
      </c>
      <c r="D70" s="6" t="str">
        <f t="shared" ref="D70:D76" si="18">"女"</f>
        <v>女</v>
      </c>
      <c r="E70" s="7">
        <v>82</v>
      </c>
      <c r="F70" s="7">
        <v>82.6</v>
      </c>
      <c r="G70" s="7">
        <v>82.3</v>
      </c>
      <c r="H70" s="6">
        <v>1</v>
      </c>
    </row>
    <row r="71" s="1" customFormat="1" ht="22" customHeight="1" spans="1:8">
      <c r="A71" s="8" t="str">
        <f t="shared" si="17"/>
        <v>9055</v>
      </c>
      <c r="B71" s="6" t="str">
        <f>"90550311406"</f>
        <v>90550311406</v>
      </c>
      <c r="C71" s="6" t="str">
        <f>"王璐璐"</f>
        <v>王璐璐</v>
      </c>
      <c r="D71" s="6" t="str">
        <f t="shared" si="18"/>
        <v>女</v>
      </c>
      <c r="E71" s="7">
        <v>73.2</v>
      </c>
      <c r="F71" s="7">
        <v>85.1</v>
      </c>
      <c r="G71" s="7">
        <v>79.15</v>
      </c>
      <c r="H71" s="6">
        <v>2</v>
      </c>
    </row>
    <row r="72" s="1" customFormat="1" ht="22" customHeight="1" spans="1:8">
      <c r="A72" s="8" t="str">
        <f t="shared" si="17"/>
        <v>9055</v>
      </c>
      <c r="B72" s="6" t="str">
        <f>"90550311908"</f>
        <v>90550311908</v>
      </c>
      <c r="C72" s="6" t="str">
        <f>"万钧文"</f>
        <v>万钧文</v>
      </c>
      <c r="D72" s="6" t="str">
        <f t="shared" ref="D72:D74" si="19">"男"</f>
        <v>男</v>
      </c>
      <c r="E72" s="7">
        <v>74.4</v>
      </c>
      <c r="F72" s="7">
        <v>78.06</v>
      </c>
      <c r="G72" s="7">
        <v>76.23</v>
      </c>
      <c r="H72" s="6">
        <v>3</v>
      </c>
    </row>
    <row r="73" s="1" customFormat="1" ht="22" customHeight="1" spans="1:8">
      <c r="A73" s="8" t="str">
        <f t="shared" si="17"/>
        <v>9061</v>
      </c>
      <c r="B73" s="6" t="str">
        <f>"90610413822"</f>
        <v>90610413822</v>
      </c>
      <c r="C73" s="6" t="str">
        <f>"杨光"</f>
        <v>杨光</v>
      </c>
      <c r="D73" s="6" t="str">
        <f t="shared" si="19"/>
        <v>男</v>
      </c>
      <c r="E73" s="7">
        <v>84.1</v>
      </c>
      <c r="F73" s="7">
        <v>85.9</v>
      </c>
      <c r="G73" s="7">
        <v>85</v>
      </c>
      <c r="H73" s="6">
        <v>1</v>
      </c>
    </row>
    <row r="74" s="1" customFormat="1" ht="22" customHeight="1" spans="1:8">
      <c r="A74" s="8" t="str">
        <f t="shared" si="17"/>
        <v>9061</v>
      </c>
      <c r="B74" s="6" t="str">
        <f>"90610312607"</f>
        <v>90610312607</v>
      </c>
      <c r="C74" s="6" t="str">
        <f>"王智召"</f>
        <v>王智召</v>
      </c>
      <c r="D74" s="6" t="str">
        <f t="shared" si="19"/>
        <v>男</v>
      </c>
      <c r="E74" s="7">
        <v>85.2</v>
      </c>
      <c r="F74" s="7">
        <v>83.46</v>
      </c>
      <c r="G74" s="7">
        <v>84.33</v>
      </c>
      <c r="H74" s="6">
        <v>2</v>
      </c>
    </row>
    <row r="75" s="1" customFormat="1" ht="22" customHeight="1" spans="1:8">
      <c r="A75" s="8" t="str">
        <f t="shared" si="17"/>
        <v>9061</v>
      </c>
      <c r="B75" s="6" t="str">
        <f>"90610312522"</f>
        <v>90610312522</v>
      </c>
      <c r="C75" s="6" t="str">
        <f>"周玫孜"</f>
        <v>周玫孜</v>
      </c>
      <c r="D75" s="6" t="str">
        <f t="shared" si="18"/>
        <v>女</v>
      </c>
      <c r="E75" s="7">
        <v>75.6</v>
      </c>
      <c r="F75" s="7">
        <v>84.74</v>
      </c>
      <c r="G75" s="7">
        <v>80.17</v>
      </c>
      <c r="H75" s="6">
        <v>3</v>
      </c>
    </row>
    <row r="76" s="1" customFormat="1" ht="22" customHeight="1" spans="1:8">
      <c r="A76" s="8" t="str">
        <f t="shared" si="17"/>
        <v>9061</v>
      </c>
      <c r="B76" s="6" t="str">
        <f>"90610312205"</f>
        <v>90610312205</v>
      </c>
      <c r="C76" s="6" t="str">
        <f>"董海舫"</f>
        <v>董海舫</v>
      </c>
      <c r="D76" s="6" t="str">
        <f t="shared" si="18"/>
        <v>女</v>
      </c>
      <c r="E76" s="7">
        <v>72.5</v>
      </c>
      <c r="F76" s="7">
        <v>83.78</v>
      </c>
      <c r="G76" s="7">
        <v>78.14</v>
      </c>
      <c r="H76" s="6">
        <v>4</v>
      </c>
    </row>
    <row r="77" s="1" customFormat="1" ht="22" customHeight="1" spans="1:8">
      <c r="A77" s="8" t="str">
        <f t="shared" si="17"/>
        <v>9061</v>
      </c>
      <c r="B77" s="6" t="str">
        <f>"90610312528"</f>
        <v>90610312528</v>
      </c>
      <c r="C77" s="6" t="str">
        <f>"杨帅"</f>
        <v>杨帅</v>
      </c>
      <c r="D77" s="6" t="str">
        <f t="shared" ref="D77:D81" si="20">"男"</f>
        <v>男</v>
      </c>
      <c r="E77" s="7">
        <v>75.2</v>
      </c>
      <c r="F77" s="7">
        <v>76.82</v>
      </c>
      <c r="G77" s="7">
        <v>76.01</v>
      </c>
      <c r="H77" s="6">
        <v>5</v>
      </c>
    </row>
    <row r="78" s="1" customFormat="1" ht="22" customHeight="1" spans="1:8">
      <c r="A78" s="8" t="str">
        <f t="shared" si="17"/>
        <v>9061</v>
      </c>
      <c r="B78" s="6" t="str">
        <f>"90610413427"</f>
        <v>90610413427</v>
      </c>
      <c r="C78" s="6" t="str">
        <f>"滕启汉"</f>
        <v>滕启汉</v>
      </c>
      <c r="D78" s="6" t="str">
        <f t="shared" si="20"/>
        <v>男</v>
      </c>
      <c r="E78" s="7">
        <v>71.9</v>
      </c>
      <c r="F78" s="7">
        <v>73.8</v>
      </c>
      <c r="G78" s="7">
        <v>72.85</v>
      </c>
      <c r="H78" s="6">
        <v>6</v>
      </c>
    </row>
    <row r="79" s="1" customFormat="1" ht="22" customHeight="1" spans="1:8">
      <c r="A79" s="8" t="str">
        <f t="shared" si="17"/>
        <v>9062</v>
      </c>
      <c r="B79" s="6" t="str">
        <f>"90620414217"</f>
        <v>90620414217</v>
      </c>
      <c r="C79" s="6" t="str">
        <f>"赵君"</f>
        <v>赵君</v>
      </c>
      <c r="D79" s="6" t="str">
        <f t="shared" ref="D79:D82" si="21">"女"</f>
        <v>女</v>
      </c>
      <c r="E79" s="7">
        <v>70.9</v>
      </c>
      <c r="F79" s="7">
        <v>85.3</v>
      </c>
      <c r="G79" s="7">
        <v>78.1</v>
      </c>
      <c r="H79" s="6">
        <v>1</v>
      </c>
    </row>
    <row r="80" s="1" customFormat="1" ht="22" customHeight="1" spans="1:8">
      <c r="A80" s="8" t="str">
        <f t="shared" si="17"/>
        <v>9062</v>
      </c>
      <c r="B80" s="6" t="str">
        <f>"90620414228"</f>
        <v>90620414228</v>
      </c>
      <c r="C80" s="6" t="str">
        <f>"陈春宇"</f>
        <v>陈春宇</v>
      </c>
      <c r="D80" s="6" t="str">
        <f t="shared" si="21"/>
        <v>女</v>
      </c>
      <c r="E80" s="7">
        <v>72.3</v>
      </c>
      <c r="F80" s="7">
        <v>82.04</v>
      </c>
      <c r="G80" s="7">
        <v>77.17</v>
      </c>
      <c r="H80" s="6">
        <v>2</v>
      </c>
    </row>
    <row r="81" s="1" customFormat="1" ht="22" customHeight="1" spans="1:8">
      <c r="A81" s="8" t="str">
        <f t="shared" si="17"/>
        <v>9062</v>
      </c>
      <c r="B81" s="6" t="str">
        <f>"90620414011"</f>
        <v>90620414011</v>
      </c>
      <c r="C81" s="6" t="str">
        <f>"吴玉峰"</f>
        <v>吴玉峰</v>
      </c>
      <c r="D81" s="6" t="str">
        <f t="shared" si="20"/>
        <v>男</v>
      </c>
      <c r="E81" s="7">
        <v>71.5</v>
      </c>
      <c r="F81" s="7">
        <v>81.76</v>
      </c>
      <c r="G81" s="7">
        <v>76.63</v>
      </c>
      <c r="H81" s="6">
        <v>3</v>
      </c>
    </row>
    <row r="82" s="1" customFormat="1" ht="22" customHeight="1" spans="1:8">
      <c r="A82" s="8" t="str">
        <f t="shared" si="17"/>
        <v>9062</v>
      </c>
      <c r="B82" s="6" t="str">
        <f>"90620414313"</f>
        <v>90620414313</v>
      </c>
      <c r="C82" s="6" t="str">
        <f>"姜慧妹"</f>
        <v>姜慧妹</v>
      </c>
      <c r="D82" s="6" t="str">
        <f t="shared" si="21"/>
        <v>女</v>
      </c>
      <c r="E82" s="7">
        <v>70.2</v>
      </c>
      <c r="F82" s="7">
        <v>82.96</v>
      </c>
      <c r="G82" s="7">
        <v>76.58</v>
      </c>
      <c r="H82" s="6">
        <v>4</v>
      </c>
    </row>
    <row r="83" s="1" customFormat="1" ht="22" customHeight="1" spans="1:8">
      <c r="A83" s="8" t="str">
        <f t="shared" si="17"/>
        <v>9062</v>
      </c>
      <c r="B83" s="6" t="str">
        <f>"90620414022"</f>
        <v>90620414022</v>
      </c>
      <c r="C83" s="6" t="str">
        <f>"李祥义"</f>
        <v>李祥义</v>
      </c>
      <c r="D83" s="6" t="str">
        <f t="shared" ref="D83:D86" si="22">"男"</f>
        <v>男</v>
      </c>
      <c r="E83" s="7">
        <v>70.7</v>
      </c>
      <c r="F83" s="7">
        <v>81.98</v>
      </c>
      <c r="G83" s="7">
        <v>76.34</v>
      </c>
      <c r="H83" s="6">
        <v>5</v>
      </c>
    </row>
    <row r="84" s="1" customFormat="1" ht="22" customHeight="1" spans="1:8">
      <c r="A84" s="8" t="str">
        <f t="shared" si="17"/>
        <v>9062</v>
      </c>
      <c r="B84" s="6" t="str">
        <f>"90620414106"</f>
        <v>90620414106</v>
      </c>
      <c r="C84" s="6" t="str">
        <f>"陈宇"</f>
        <v>陈宇</v>
      </c>
      <c r="D84" s="6" t="str">
        <f t="shared" si="22"/>
        <v>男</v>
      </c>
      <c r="E84" s="7">
        <v>71.5</v>
      </c>
      <c r="F84" s="7">
        <v>81.16</v>
      </c>
      <c r="G84" s="7">
        <v>76.33</v>
      </c>
      <c r="H84" s="6">
        <v>6</v>
      </c>
    </row>
    <row r="85" s="1" customFormat="1" ht="22" customHeight="1" spans="1:8">
      <c r="A85" s="8" t="str">
        <f t="shared" si="17"/>
        <v>9071</v>
      </c>
      <c r="B85" s="6" t="str">
        <f>"90710414501"</f>
        <v>90710414501</v>
      </c>
      <c r="C85" s="6" t="str">
        <f>"史璐"</f>
        <v>史璐</v>
      </c>
      <c r="D85" s="6" t="str">
        <f t="shared" ref="D85:D90" si="23">"女"</f>
        <v>女</v>
      </c>
      <c r="E85" s="7">
        <v>73</v>
      </c>
      <c r="F85" s="7">
        <v>83.22</v>
      </c>
      <c r="G85" s="7">
        <v>78.11</v>
      </c>
      <c r="H85" s="6">
        <v>1</v>
      </c>
    </row>
    <row r="86" s="1" customFormat="1" ht="22" customHeight="1" spans="1:8">
      <c r="A86" s="8" t="str">
        <f t="shared" si="17"/>
        <v>9071</v>
      </c>
      <c r="B86" s="6" t="str">
        <f>"90710414626"</f>
        <v>90710414626</v>
      </c>
      <c r="C86" s="6" t="str">
        <f>"李俊秋"</f>
        <v>李俊秋</v>
      </c>
      <c r="D86" s="6" t="str">
        <f t="shared" si="22"/>
        <v>男</v>
      </c>
      <c r="E86" s="7">
        <v>68.4</v>
      </c>
      <c r="F86" s="7">
        <v>83.04</v>
      </c>
      <c r="G86" s="7">
        <v>75.72</v>
      </c>
      <c r="H86" s="6">
        <v>2</v>
      </c>
    </row>
    <row r="87" s="1" customFormat="1" ht="22" customHeight="1" spans="1:8">
      <c r="A87" s="8" t="str">
        <f t="shared" si="17"/>
        <v>9071</v>
      </c>
      <c r="B87" s="6" t="str">
        <f>"90710414513"</f>
        <v>90710414513</v>
      </c>
      <c r="C87" s="6" t="str">
        <f>"王丹"</f>
        <v>王丹</v>
      </c>
      <c r="D87" s="6" t="str">
        <f t="shared" si="23"/>
        <v>女</v>
      </c>
      <c r="E87" s="7">
        <v>68</v>
      </c>
      <c r="F87" s="7">
        <v>81.76</v>
      </c>
      <c r="G87" s="7">
        <v>74.88</v>
      </c>
      <c r="H87" s="6">
        <v>3</v>
      </c>
    </row>
    <row r="88" s="1" customFormat="1" ht="22" customHeight="1" spans="1:8">
      <c r="A88" s="8" t="str">
        <f t="shared" si="17"/>
        <v>9071</v>
      </c>
      <c r="B88" s="6" t="str">
        <f>"90710414507"</f>
        <v>90710414507</v>
      </c>
      <c r="C88" s="6" t="str">
        <f>"王赛"</f>
        <v>王赛</v>
      </c>
      <c r="D88" s="6" t="str">
        <f t="shared" si="23"/>
        <v>女</v>
      </c>
      <c r="E88" s="7">
        <v>66.7</v>
      </c>
      <c r="F88" s="7">
        <v>77.5</v>
      </c>
      <c r="G88" s="7">
        <v>72.1</v>
      </c>
      <c r="H88" s="6">
        <v>4</v>
      </c>
    </row>
    <row r="89" s="1" customFormat="1" ht="22" customHeight="1" spans="1:8">
      <c r="A89" s="8" t="str">
        <f t="shared" si="17"/>
        <v>9071</v>
      </c>
      <c r="B89" s="6" t="str">
        <f>"90710414724"</f>
        <v>90710414724</v>
      </c>
      <c r="C89" s="6" t="str">
        <f>"吴雪杰"</f>
        <v>吴雪杰</v>
      </c>
      <c r="D89" s="6" t="str">
        <f t="shared" si="23"/>
        <v>女</v>
      </c>
      <c r="E89" s="7">
        <v>69.6</v>
      </c>
      <c r="F89" s="7">
        <v>71.78</v>
      </c>
      <c r="G89" s="7">
        <v>70.69</v>
      </c>
      <c r="H89" s="6">
        <v>5</v>
      </c>
    </row>
    <row r="90" s="1" customFormat="1" ht="22" customHeight="1" spans="1:8">
      <c r="A90" s="8" t="str">
        <f t="shared" si="17"/>
        <v>9071</v>
      </c>
      <c r="B90" s="6" t="str">
        <f>"90710414508"</f>
        <v>90710414508</v>
      </c>
      <c r="C90" s="6" t="str">
        <f>"李嘉文"</f>
        <v>李嘉文</v>
      </c>
      <c r="D90" s="6" t="str">
        <f t="shared" si="23"/>
        <v>女</v>
      </c>
      <c r="E90" s="7">
        <v>68.5</v>
      </c>
      <c r="F90" s="7" t="s">
        <v>9</v>
      </c>
      <c r="G90" s="7" t="s">
        <v>9</v>
      </c>
      <c r="H90" s="7" t="s">
        <v>9</v>
      </c>
    </row>
    <row r="91" s="1" customFormat="1" ht="22" customHeight="1" spans="1:8">
      <c r="A91" s="8" t="str">
        <f t="shared" si="17"/>
        <v>9072</v>
      </c>
      <c r="B91" s="6" t="str">
        <f>"90720414823"</f>
        <v>90720414823</v>
      </c>
      <c r="C91" s="6" t="str">
        <f>"张东旭"</f>
        <v>张东旭</v>
      </c>
      <c r="D91" s="6" t="str">
        <f t="shared" ref="D91:D106" si="24">"男"</f>
        <v>男</v>
      </c>
      <c r="E91" s="7">
        <v>68.8</v>
      </c>
      <c r="F91" s="7">
        <v>82.92</v>
      </c>
      <c r="G91" s="7">
        <v>75.86</v>
      </c>
      <c r="H91" s="6">
        <v>1</v>
      </c>
    </row>
    <row r="92" s="1" customFormat="1" ht="22" customHeight="1" spans="1:8">
      <c r="A92" s="8" t="str">
        <f t="shared" si="17"/>
        <v>9072</v>
      </c>
      <c r="B92" s="6" t="str">
        <f>"90720414817"</f>
        <v>90720414817</v>
      </c>
      <c r="C92" s="6" t="str">
        <f>"齐惠敏"</f>
        <v>齐惠敏</v>
      </c>
      <c r="D92" s="6" t="str">
        <f>"女"</f>
        <v>女</v>
      </c>
      <c r="E92" s="7">
        <v>65.2</v>
      </c>
      <c r="F92" s="7">
        <v>80.86</v>
      </c>
      <c r="G92" s="7">
        <v>73.03</v>
      </c>
      <c r="H92" s="6">
        <v>2</v>
      </c>
    </row>
    <row r="93" s="1" customFormat="1" ht="22" customHeight="1" spans="1:8">
      <c r="A93" s="8" t="str">
        <f t="shared" si="17"/>
        <v>9072</v>
      </c>
      <c r="B93" s="6" t="str">
        <f>"90720414814"</f>
        <v>90720414814</v>
      </c>
      <c r="C93" s="6" t="str">
        <f>"李静"</f>
        <v>李静</v>
      </c>
      <c r="D93" s="6" t="str">
        <f>"女"</f>
        <v>女</v>
      </c>
      <c r="E93" s="7">
        <v>61.3</v>
      </c>
      <c r="F93" s="7">
        <v>82.24</v>
      </c>
      <c r="G93" s="7">
        <v>71.77</v>
      </c>
      <c r="H93" s="6">
        <v>3</v>
      </c>
    </row>
    <row r="94" s="1" customFormat="1" ht="22" customHeight="1" spans="1:8">
      <c r="A94" s="8" t="str">
        <f t="shared" si="17"/>
        <v>9072</v>
      </c>
      <c r="B94" s="6" t="str">
        <f>"90720414811"</f>
        <v>90720414811</v>
      </c>
      <c r="C94" s="6" t="str">
        <f>"王玉晓"</f>
        <v>王玉晓</v>
      </c>
      <c r="D94" s="6" t="str">
        <f t="shared" si="24"/>
        <v>男</v>
      </c>
      <c r="E94" s="7">
        <v>60.9</v>
      </c>
      <c r="F94" s="7">
        <v>75.24</v>
      </c>
      <c r="G94" s="7">
        <v>68.07</v>
      </c>
      <c r="H94" s="6">
        <v>4</v>
      </c>
    </row>
    <row r="95" s="1" customFormat="1" ht="22" customHeight="1" spans="1:8">
      <c r="A95" s="8" t="str">
        <f t="shared" si="17"/>
        <v>9072</v>
      </c>
      <c r="B95" s="6" t="str">
        <f>"90720414812"</f>
        <v>90720414812</v>
      </c>
      <c r="C95" s="6" t="str">
        <f>"周丰收"</f>
        <v>周丰收</v>
      </c>
      <c r="D95" s="6" t="str">
        <f t="shared" si="24"/>
        <v>男</v>
      </c>
      <c r="E95" s="7">
        <v>60.7</v>
      </c>
      <c r="F95" s="7">
        <v>73.08</v>
      </c>
      <c r="G95" s="7">
        <v>66.89</v>
      </c>
      <c r="H95" s="6">
        <v>5</v>
      </c>
    </row>
    <row r="96" s="1" customFormat="1" ht="22" customHeight="1" spans="1:8">
      <c r="A96" s="8" t="str">
        <f t="shared" si="17"/>
        <v>9072</v>
      </c>
      <c r="B96" s="6" t="str">
        <f>"90720414815"</f>
        <v>90720414815</v>
      </c>
      <c r="C96" s="6" t="str">
        <f>"王楠"</f>
        <v>王楠</v>
      </c>
      <c r="D96" s="6" t="str">
        <f t="shared" si="24"/>
        <v>男</v>
      </c>
      <c r="E96" s="7">
        <v>60.8</v>
      </c>
      <c r="F96" s="7" t="s">
        <v>10</v>
      </c>
      <c r="G96" s="7" t="s">
        <v>10</v>
      </c>
      <c r="H96" s="7" t="s">
        <v>10</v>
      </c>
    </row>
    <row r="97" s="1" customFormat="1" ht="22" customHeight="1" spans="1:8">
      <c r="A97" s="8" t="str">
        <f t="shared" si="17"/>
        <v>9073</v>
      </c>
      <c r="B97" s="6" t="str">
        <f>"90730415205"</f>
        <v>90730415205</v>
      </c>
      <c r="C97" s="6" t="str">
        <f>"薛琪霖"</f>
        <v>薛琪霖</v>
      </c>
      <c r="D97" s="6" t="str">
        <f t="shared" si="24"/>
        <v>男</v>
      </c>
      <c r="E97" s="7">
        <v>71.6</v>
      </c>
      <c r="F97" s="7">
        <v>85.12</v>
      </c>
      <c r="G97" s="7">
        <v>78.36</v>
      </c>
      <c r="H97" s="6">
        <v>1</v>
      </c>
    </row>
    <row r="98" s="1" customFormat="1" ht="22" customHeight="1" spans="1:8">
      <c r="A98" s="8" t="str">
        <f t="shared" si="17"/>
        <v>9073</v>
      </c>
      <c r="B98" s="6" t="str">
        <f>"90730415801"</f>
        <v>90730415801</v>
      </c>
      <c r="C98" s="6" t="str">
        <f>"杨书帆"</f>
        <v>杨书帆</v>
      </c>
      <c r="D98" s="6" t="str">
        <f t="shared" si="24"/>
        <v>男</v>
      </c>
      <c r="E98" s="7">
        <v>72.8</v>
      </c>
      <c r="F98" s="7">
        <v>82.66</v>
      </c>
      <c r="G98" s="7">
        <v>77.73</v>
      </c>
      <c r="H98" s="6">
        <v>2</v>
      </c>
    </row>
    <row r="99" s="1" customFormat="1" ht="22" customHeight="1" spans="1:8">
      <c r="A99" s="8" t="str">
        <f t="shared" si="17"/>
        <v>9073</v>
      </c>
      <c r="B99" s="6" t="str">
        <f>"90730415712"</f>
        <v>90730415712</v>
      </c>
      <c r="C99" s="6" t="str">
        <f>"王涛"</f>
        <v>王涛</v>
      </c>
      <c r="D99" s="6" t="str">
        <f t="shared" si="24"/>
        <v>男</v>
      </c>
      <c r="E99" s="7">
        <v>71.5</v>
      </c>
      <c r="F99" s="7">
        <v>83.32</v>
      </c>
      <c r="G99" s="7">
        <v>77.41</v>
      </c>
      <c r="H99" s="6">
        <v>3</v>
      </c>
    </row>
    <row r="100" s="1" customFormat="1" ht="22" customHeight="1" spans="1:8">
      <c r="A100" s="8" t="str">
        <f t="shared" si="17"/>
        <v>9073</v>
      </c>
      <c r="B100" s="6" t="str">
        <f>"90730415103"</f>
        <v>90730415103</v>
      </c>
      <c r="C100" s="6" t="str">
        <f>"朱清源"</f>
        <v>朱清源</v>
      </c>
      <c r="D100" s="6" t="str">
        <f t="shared" si="24"/>
        <v>男</v>
      </c>
      <c r="E100" s="7">
        <v>72</v>
      </c>
      <c r="F100" s="7">
        <v>82.78</v>
      </c>
      <c r="G100" s="7">
        <v>77.39</v>
      </c>
      <c r="H100" s="6">
        <v>4</v>
      </c>
    </row>
    <row r="101" s="1" customFormat="1" ht="22" customHeight="1" spans="1:8">
      <c r="A101" s="8" t="str">
        <f t="shared" si="17"/>
        <v>9073</v>
      </c>
      <c r="B101" s="6" t="str">
        <f>"90730415814"</f>
        <v>90730415814</v>
      </c>
      <c r="C101" s="6" t="str">
        <f>"刘胜迪"</f>
        <v>刘胜迪</v>
      </c>
      <c r="D101" s="6" t="str">
        <f t="shared" si="24"/>
        <v>男</v>
      </c>
      <c r="E101" s="7">
        <v>69.4</v>
      </c>
      <c r="F101" s="7">
        <v>82</v>
      </c>
      <c r="G101" s="7">
        <v>75.7</v>
      </c>
      <c r="H101" s="6">
        <v>5</v>
      </c>
    </row>
    <row r="102" s="1" customFormat="1" ht="22" customHeight="1" spans="1:8">
      <c r="A102" s="8" t="str">
        <f t="shared" si="17"/>
        <v>9073</v>
      </c>
      <c r="B102" s="6" t="str">
        <f>"90730415828"</f>
        <v>90730415828</v>
      </c>
      <c r="C102" s="6" t="str">
        <f>"田阔"</f>
        <v>田阔</v>
      </c>
      <c r="D102" s="6" t="str">
        <f t="shared" si="24"/>
        <v>男</v>
      </c>
      <c r="E102" s="7">
        <v>78.4</v>
      </c>
      <c r="F102" s="7">
        <v>72.86</v>
      </c>
      <c r="G102" s="7">
        <v>75.63</v>
      </c>
      <c r="H102" s="6">
        <v>6</v>
      </c>
    </row>
    <row r="103" s="1" customFormat="1" ht="22" customHeight="1" spans="1:8">
      <c r="A103" s="8" t="str">
        <f t="shared" si="17"/>
        <v>9073</v>
      </c>
      <c r="B103" s="6" t="str">
        <f>"90730415210"</f>
        <v>90730415210</v>
      </c>
      <c r="C103" s="6" t="str">
        <f>"高远"</f>
        <v>高远</v>
      </c>
      <c r="D103" s="6" t="str">
        <f t="shared" si="24"/>
        <v>男</v>
      </c>
      <c r="E103" s="7">
        <v>73.3</v>
      </c>
      <c r="F103" s="7">
        <v>73.96</v>
      </c>
      <c r="G103" s="7">
        <v>73.63</v>
      </c>
      <c r="H103" s="6">
        <v>7</v>
      </c>
    </row>
    <row r="104" s="1" customFormat="1" ht="22" customHeight="1" spans="1:8">
      <c r="A104" s="8" t="str">
        <f t="shared" si="17"/>
        <v>9073</v>
      </c>
      <c r="B104" s="6" t="str">
        <f>"90730415808"</f>
        <v>90730415808</v>
      </c>
      <c r="C104" s="6" t="str">
        <f>"闫志海"</f>
        <v>闫志海</v>
      </c>
      <c r="D104" s="6" t="str">
        <f t="shared" si="24"/>
        <v>男</v>
      </c>
      <c r="E104" s="7">
        <v>70.5</v>
      </c>
      <c r="F104" s="7">
        <v>69.38</v>
      </c>
      <c r="G104" s="7">
        <v>69.94</v>
      </c>
      <c r="H104" s="6">
        <v>8</v>
      </c>
    </row>
    <row r="105" s="1" customFormat="1" ht="22" customHeight="1" spans="1:8">
      <c r="A105" s="8" t="str">
        <f t="shared" si="17"/>
        <v>9073</v>
      </c>
      <c r="B105" s="6" t="str">
        <f>"90730415508"</f>
        <v>90730415508</v>
      </c>
      <c r="C105" s="6" t="str">
        <f>"胡建春"</f>
        <v>胡建春</v>
      </c>
      <c r="D105" s="6" t="str">
        <f t="shared" si="24"/>
        <v>男</v>
      </c>
      <c r="E105" s="7">
        <v>71.4</v>
      </c>
      <c r="F105" s="7">
        <v>67.2</v>
      </c>
      <c r="G105" s="7">
        <v>69.3</v>
      </c>
      <c r="H105" s="6">
        <v>9</v>
      </c>
    </row>
    <row r="106" s="1" customFormat="1" ht="22" customHeight="1" spans="1:8">
      <c r="A106" s="8" t="str">
        <f t="shared" si="17"/>
        <v>9074</v>
      </c>
      <c r="B106" s="6" t="str">
        <f>"90740516314"</f>
        <v>90740516314</v>
      </c>
      <c r="C106" s="6" t="str">
        <f>"吉柏良"</f>
        <v>吉柏良</v>
      </c>
      <c r="D106" s="6" t="str">
        <f t="shared" si="24"/>
        <v>男</v>
      </c>
      <c r="E106" s="7">
        <v>83.4</v>
      </c>
      <c r="F106" s="7">
        <v>81.14</v>
      </c>
      <c r="G106" s="7">
        <v>82.27</v>
      </c>
      <c r="H106" s="6">
        <v>1</v>
      </c>
    </row>
    <row r="107" s="1" customFormat="1" ht="22" customHeight="1" spans="1:8">
      <c r="A107" s="8" t="str">
        <f t="shared" si="17"/>
        <v>9074</v>
      </c>
      <c r="B107" s="6" t="str">
        <f>"90740416013"</f>
        <v>90740416013</v>
      </c>
      <c r="C107" s="6" t="str">
        <f>"朱博彤"</f>
        <v>朱博彤</v>
      </c>
      <c r="D107" s="6" t="str">
        <f>"女"</f>
        <v>女</v>
      </c>
      <c r="E107" s="7">
        <v>72.9</v>
      </c>
      <c r="F107" s="7">
        <v>83.68</v>
      </c>
      <c r="G107" s="7">
        <v>78.29</v>
      </c>
      <c r="H107" s="6">
        <v>2</v>
      </c>
    </row>
    <row r="108" s="1" customFormat="1" ht="22" customHeight="1" spans="1:8">
      <c r="A108" s="8" t="str">
        <f t="shared" si="17"/>
        <v>9074</v>
      </c>
      <c r="B108" s="6" t="str">
        <f>"90740415914"</f>
        <v>90740415914</v>
      </c>
      <c r="C108" s="6" t="str">
        <f>"王帅"</f>
        <v>王帅</v>
      </c>
      <c r="D108" s="6" t="str">
        <f t="shared" ref="D108:D112" si="25">"男"</f>
        <v>男</v>
      </c>
      <c r="E108" s="7">
        <v>72.9</v>
      </c>
      <c r="F108" s="7">
        <v>83.48</v>
      </c>
      <c r="G108" s="7">
        <v>78.19</v>
      </c>
      <c r="H108" s="6">
        <v>3</v>
      </c>
    </row>
    <row r="109" s="1" customFormat="1" ht="22" customHeight="1" spans="1:8">
      <c r="A109" s="8" t="str">
        <f t="shared" si="17"/>
        <v>9074</v>
      </c>
      <c r="B109" s="6" t="str">
        <f>"90740415916"</f>
        <v>90740415916</v>
      </c>
      <c r="C109" s="6" t="str">
        <f>"齐辉"</f>
        <v>齐辉</v>
      </c>
      <c r="D109" s="6" t="str">
        <f>"女"</f>
        <v>女</v>
      </c>
      <c r="E109" s="7">
        <v>74.6</v>
      </c>
      <c r="F109" s="7">
        <v>80.08</v>
      </c>
      <c r="G109" s="7">
        <v>77.34</v>
      </c>
      <c r="H109" s="6">
        <v>4</v>
      </c>
    </row>
    <row r="110" s="1" customFormat="1" ht="22" customHeight="1" spans="1:8">
      <c r="A110" s="8" t="str">
        <f t="shared" si="17"/>
        <v>9074</v>
      </c>
      <c r="B110" s="6" t="str">
        <f>"90740516222"</f>
        <v>90740516222</v>
      </c>
      <c r="C110" s="6" t="str">
        <f>"田冰"</f>
        <v>田冰</v>
      </c>
      <c r="D110" s="6" t="str">
        <f t="shared" si="25"/>
        <v>男</v>
      </c>
      <c r="E110" s="7">
        <v>71.1</v>
      </c>
      <c r="F110" s="7">
        <v>80.82</v>
      </c>
      <c r="G110" s="7">
        <v>75.96</v>
      </c>
      <c r="H110" s="6">
        <v>5</v>
      </c>
    </row>
    <row r="111" s="1" customFormat="1" ht="22" customHeight="1" spans="1:8">
      <c r="A111" s="8" t="str">
        <f t="shared" si="17"/>
        <v>9074</v>
      </c>
      <c r="B111" s="6" t="str">
        <f>"90740415926"</f>
        <v>90740415926</v>
      </c>
      <c r="C111" s="6" t="str">
        <f>"秦韵强"</f>
        <v>秦韵强</v>
      </c>
      <c r="D111" s="6" t="str">
        <f t="shared" si="25"/>
        <v>男</v>
      </c>
      <c r="E111" s="7">
        <v>73.5</v>
      </c>
      <c r="F111" s="7">
        <v>74.6</v>
      </c>
      <c r="G111" s="7">
        <v>74.05</v>
      </c>
      <c r="H111" s="6">
        <v>6</v>
      </c>
    </row>
    <row r="112" s="1" customFormat="1" ht="22" customHeight="1" spans="1:8">
      <c r="A112" s="8" t="str">
        <f t="shared" si="17"/>
        <v>9074</v>
      </c>
      <c r="B112" s="6" t="str">
        <f>"90740516211"</f>
        <v>90740516211</v>
      </c>
      <c r="C112" s="6" t="str">
        <f>"王睿"</f>
        <v>王睿</v>
      </c>
      <c r="D112" s="6" t="str">
        <f t="shared" si="25"/>
        <v>男</v>
      </c>
      <c r="E112" s="7">
        <v>72</v>
      </c>
      <c r="F112" s="7">
        <v>75.74</v>
      </c>
      <c r="G112" s="7">
        <v>73.87</v>
      </c>
      <c r="H112" s="6">
        <v>7</v>
      </c>
    </row>
    <row r="113" s="1" customFormat="1" ht="22" customHeight="1" spans="1:8">
      <c r="A113" s="8" t="str">
        <f t="shared" si="17"/>
        <v>9074</v>
      </c>
      <c r="B113" s="6" t="str">
        <f>"90740416107"</f>
        <v>90740416107</v>
      </c>
      <c r="C113" s="6" t="str">
        <f>"张旭敏"</f>
        <v>张旭敏</v>
      </c>
      <c r="D113" s="6" t="str">
        <f t="shared" ref="D113:D117" si="26">"女"</f>
        <v>女</v>
      </c>
      <c r="E113" s="7">
        <v>76.1</v>
      </c>
      <c r="F113" s="7">
        <v>70.6</v>
      </c>
      <c r="G113" s="7">
        <v>73.35</v>
      </c>
      <c r="H113" s="6">
        <v>8</v>
      </c>
    </row>
    <row r="114" s="1" customFormat="1" ht="22" customHeight="1" spans="1:8">
      <c r="A114" s="8" t="str">
        <f t="shared" si="17"/>
        <v>9074</v>
      </c>
      <c r="B114" s="6" t="str">
        <f>"90740416101"</f>
        <v>90740416101</v>
      </c>
      <c r="C114" s="6" t="str">
        <f>"李榄博"</f>
        <v>李榄博</v>
      </c>
      <c r="D114" s="6" t="str">
        <f t="shared" ref="D114:D121" si="27">"男"</f>
        <v>男</v>
      </c>
      <c r="E114" s="7">
        <v>70.9</v>
      </c>
      <c r="F114" s="7">
        <v>74.8</v>
      </c>
      <c r="G114" s="7">
        <v>72.85</v>
      </c>
      <c r="H114" s="6">
        <v>9</v>
      </c>
    </row>
    <row r="115" s="1" customFormat="1" ht="22" customHeight="1" spans="1:8">
      <c r="A115" s="8" t="str">
        <f t="shared" si="17"/>
        <v>9075</v>
      </c>
      <c r="B115" s="6" t="str">
        <f>"90750516523"</f>
        <v>90750516523</v>
      </c>
      <c r="C115" s="6" t="str">
        <f>"王英爽"</f>
        <v>王英爽</v>
      </c>
      <c r="D115" s="6" t="str">
        <f t="shared" si="27"/>
        <v>男</v>
      </c>
      <c r="E115" s="7">
        <v>68.5</v>
      </c>
      <c r="F115" s="7">
        <v>86.16</v>
      </c>
      <c r="G115" s="7">
        <v>77.33</v>
      </c>
      <c r="H115" s="6">
        <v>1</v>
      </c>
    </row>
    <row r="116" s="1" customFormat="1" ht="22" customHeight="1" spans="1:8">
      <c r="A116" s="8" t="str">
        <f t="shared" si="17"/>
        <v>9075</v>
      </c>
      <c r="B116" s="6" t="str">
        <f>"90750516509"</f>
        <v>90750516509</v>
      </c>
      <c r="C116" s="6" t="str">
        <f>"雷如梦"</f>
        <v>雷如梦</v>
      </c>
      <c r="D116" s="6" t="str">
        <f t="shared" si="26"/>
        <v>女</v>
      </c>
      <c r="E116" s="7">
        <v>73.5</v>
      </c>
      <c r="F116" s="7">
        <v>76.66</v>
      </c>
      <c r="G116" s="7">
        <v>75.08</v>
      </c>
      <c r="H116" s="6">
        <v>2</v>
      </c>
    </row>
    <row r="117" s="1" customFormat="1" ht="22" customHeight="1" spans="1:8">
      <c r="A117" s="8" t="str">
        <f t="shared" si="17"/>
        <v>9075</v>
      </c>
      <c r="B117" s="6" t="str">
        <f>"90750516702"</f>
        <v>90750516702</v>
      </c>
      <c r="C117" s="6" t="str">
        <f>"王青云"</f>
        <v>王青云</v>
      </c>
      <c r="D117" s="6" t="str">
        <f t="shared" si="26"/>
        <v>女</v>
      </c>
      <c r="E117" s="7">
        <v>73.6</v>
      </c>
      <c r="F117" s="7">
        <v>75.38</v>
      </c>
      <c r="G117" s="7">
        <v>74.49</v>
      </c>
      <c r="H117" s="6">
        <v>3</v>
      </c>
    </row>
    <row r="118" s="1" customFormat="1" ht="22" customHeight="1" spans="1:8">
      <c r="A118" s="8" t="str">
        <f t="shared" si="17"/>
        <v>9075</v>
      </c>
      <c r="B118" s="6" t="str">
        <f>"90750516602"</f>
        <v>90750516602</v>
      </c>
      <c r="C118" s="6" t="str">
        <f>"朱泓儒"</f>
        <v>朱泓儒</v>
      </c>
      <c r="D118" s="6" t="str">
        <f t="shared" si="27"/>
        <v>男</v>
      </c>
      <c r="E118" s="7">
        <v>66.1</v>
      </c>
      <c r="F118" s="7">
        <v>77.46</v>
      </c>
      <c r="G118" s="7">
        <v>71.78</v>
      </c>
      <c r="H118" s="6">
        <v>4</v>
      </c>
    </row>
    <row r="119" s="1" customFormat="1" ht="22" customHeight="1" spans="1:8">
      <c r="A119" s="8" t="str">
        <f t="shared" si="17"/>
        <v>9075</v>
      </c>
      <c r="B119" s="6" t="str">
        <f>"90750516430"</f>
        <v>90750516430</v>
      </c>
      <c r="C119" s="6" t="str">
        <f>"戴天佑"</f>
        <v>戴天佑</v>
      </c>
      <c r="D119" s="6" t="str">
        <f t="shared" si="27"/>
        <v>男</v>
      </c>
      <c r="E119" s="7">
        <v>72.8</v>
      </c>
      <c r="F119" s="7">
        <v>68.98</v>
      </c>
      <c r="G119" s="7">
        <v>70.89</v>
      </c>
      <c r="H119" s="6">
        <v>5</v>
      </c>
    </row>
    <row r="120" s="1" customFormat="1" ht="22" customHeight="1" spans="1:8">
      <c r="A120" s="8" t="str">
        <f t="shared" si="17"/>
        <v>9075</v>
      </c>
      <c r="B120" s="6" t="str">
        <f>"90750516508"</f>
        <v>90750516508</v>
      </c>
      <c r="C120" s="6" t="str">
        <f>"禄程阳"</f>
        <v>禄程阳</v>
      </c>
      <c r="D120" s="6" t="str">
        <f t="shared" si="27"/>
        <v>男</v>
      </c>
      <c r="E120" s="7">
        <v>68.5</v>
      </c>
      <c r="F120" s="7">
        <v>73.06</v>
      </c>
      <c r="G120" s="7">
        <v>70.78</v>
      </c>
      <c r="H120" s="6">
        <v>6</v>
      </c>
    </row>
    <row r="121" s="1" customFormat="1" ht="22" customHeight="1" spans="1:8">
      <c r="A121" s="6" t="str">
        <f t="shared" si="17"/>
        <v>9081</v>
      </c>
      <c r="B121" s="6" t="str">
        <f>"90810516722"</f>
        <v>90810516722</v>
      </c>
      <c r="C121" s="6" t="str">
        <f>"李立恒"</f>
        <v>李立恒</v>
      </c>
      <c r="D121" s="6" t="str">
        <f t="shared" si="27"/>
        <v>男</v>
      </c>
      <c r="E121" s="7">
        <v>73.6</v>
      </c>
      <c r="F121" s="7">
        <v>86.58</v>
      </c>
      <c r="G121" s="7">
        <v>80.09</v>
      </c>
      <c r="H121" s="6">
        <v>1</v>
      </c>
    </row>
    <row r="122" s="1" customFormat="1" ht="22" customHeight="1" spans="1:8">
      <c r="A122" s="6" t="str">
        <f t="shared" si="17"/>
        <v>9081</v>
      </c>
      <c r="B122" s="6" t="str">
        <f>"90810516721"</f>
        <v>90810516721</v>
      </c>
      <c r="C122" s="6" t="str">
        <f>"刘英"</f>
        <v>刘英</v>
      </c>
      <c r="D122" s="6" t="str">
        <f t="shared" ref="D122:D127" si="28">"女"</f>
        <v>女</v>
      </c>
      <c r="E122" s="7">
        <v>72.7</v>
      </c>
      <c r="F122" s="7">
        <v>84.04</v>
      </c>
      <c r="G122" s="7">
        <v>78.37</v>
      </c>
      <c r="H122" s="6">
        <v>2</v>
      </c>
    </row>
    <row r="123" s="1" customFormat="1" ht="22" customHeight="1" spans="1:8">
      <c r="A123" s="6" t="str">
        <f t="shared" si="17"/>
        <v>9081</v>
      </c>
      <c r="B123" s="6" t="str">
        <f>"90810516817"</f>
        <v>90810516817</v>
      </c>
      <c r="C123" s="6" t="str">
        <f>"乔荣桓"</f>
        <v>乔荣桓</v>
      </c>
      <c r="D123" s="6" t="str">
        <f t="shared" ref="D123:D133" si="29">"男"</f>
        <v>男</v>
      </c>
      <c r="E123" s="7">
        <v>70.7</v>
      </c>
      <c r="F123" s="7">
        <v>83.64</v>
      </c>
      <c r="G123" s="7">
        <v>77.17</v>
      </c>
      <c r="H123" s="6">
        <v>3</v>
      </c>
    </row>
    <row r="124" s="1" customFormat="1" ht="22" customHeight="1" spans="1:8">
      <c r="A124" s="6" t="str">
        <f t="shared" si="17"/>
        <v>9091</v>
      </c>
      <c r="B124" s="6" t="str">
        <f>"90910517004"</f>
        <v>90910517004</v>
      </c>
      <c r="C124" s="6" t="str">
        <f>"刘垚"</f>
        <v>刘垚</v>
      </c>
      <c r="D124" s="6" t="str">
        <f t="shared" si="29"/>
        <v>男</v>
      </c>
      <c r="E124" s="7">
        <v>73.4</v>
      </c>
      <c r="F124" s="7">
        <v>82.02</v>
      </c>
      <c r="G124" s="7">
        <v>77.71</v>
      </c>
      <c r="H124" s="6">
        <v>1</v>
      </c>
    </row>
    <row r="125" s="1" customFormat="1" ht="22" customHeight="1" spans="1:8">
      <c r="A125" s="6" t="str">
        <f t="shared" si="17"/>
        <v>9091</v>
      </c>
      <c r="B125" s="6" t="str">
        <f>"90910517009"</f>
        <v>90910517009</v>
      </c>
      <c r="C125" s="6" t="str">
        <f>"徐雪雪"</f>
        <v>徐雪雪</v>
      </c>
      <c r="D125" s="6" t="str">
        <f t="shared" si="28"/>
        <v>女</v>
      </c>
      <c r="E125" s="7">
        <v>70.2</v>
      </c>
      <c r="F125" s="7">
        <v>79.46</v>
      </c>
      <c r="G125" s="7">
        <v>74.83</v>
      </c>
      <c r="H125" s="6">
        <v>2</v>
      </c>
    </row>
    <row r="126" s="1" customFormat="1" ht="22" customHeight="1" spans="1:8">
      <c r="A126" s="6" t="str">
        <f t="shared" si="17"/>
        <v>9091</v>
      </c>
      <c r="B126" s="6" t="str">
        <f>"90910517110"</f>
        <v>90910517110</v>
      </c>
      <c r="C126" s="6" t="str">
        <f>"王伟"</f>
        <v>王伟</v>
      </c>
      <c r="D126" s="6" t="str">
        <f t="shared" si="28"/>
        <v>女</v>
      </c>
      <c r="E126" s="7">
        <v>70.3</v>
      </c>
      <c r="F126" s="7">
        <v>67.3</v>
      </c>
      <c r="G126" s="7">
        <v>68.8</v>
      </c>
      <c r="H126" s="6">
        <v>3</v>
      </c>
    </row>
    <row r="127" s="1" customFormat="1" ht="22" customHeight="1" spans="1:8">
      <c r="A127" s="6" t="str">
        <f t="shared" si="17"/>
        <v>9092</v>
      </c>
      <c r="B127" s="6" t="str">
        <f>"90920517330"</f>
        <v>90920517330</v>
      </c>
      <c r="C127" s="6" t="str">
        <f>"杨丹丹"</f>
        <v>杨丹丹</v>
      </c>
      <c r="D127" s="6" t="str">
        <f t="shared" si="28"/>
        <v>女</v>
      </c>
      <c r="E127" s="7">
        <v>70.7</v>
      </c>
      <c r="F127" s="7">
        <v>84.84</v>
      </c>
      <c r="G127" s="7">
        <v>77.77</v>
      </c>
      <c r="H127" s="6">
        <v>1</v>
      </c>
    </row>
    <row r="128" s="1" customFormat="1" ht="22" customHeight="1" spans="1:8">
      <c r="A128" s="6" t="str">
        <f t="shared" si="17"/>
        <v>9092</v>
      </c>
      <c r="B128" s="6" t="str">
        <f>"90920517507"</f>
        <v>90920517507</v>
      </c>
      <c r="C128" s="6" t="str">
        <f>"朱纪东"</f>
        <v>朱纪东</v>
      </c>
      <c r="D128" s="6" t="str">
        <f t="shared" si="29"/>
        <v>男</v>
      </c>
      <c r="E128" s="7">
        <v>78.8</v>
      </c>
      <c r="F128" s="7">
        <v>74.12</v>
      </c>
      <c r="G128" s="7">
        <v>76.46</v>
      </c>
      <c r="H128" s="6">
        <v>2</v>
      </c>
    </row>
    <row r="129" s="1" customFormat="1" ht="22" customHeight="1" spans="1:8">
      <c r="A129" s="6" t="str">
        <f t="shared" si="17"/>
        <v>9092</v>
      </c>
      <c r="B129" s="6" t="str">
        <f>"90920517529"</f>
        <v>90920517529</v>
      </c>
      <c r="C129" s="6" t="str">
        <f>"王朝聪"</f>
        <v>王朝聪</v>
      </c>
      <c r="D129" s="6" t="str">
        <f t="shared" si="29"/>
        <v>男</v>
      </c>
      <c r="E129" s="7">
        <v>70.8</v>
      </c>
      <c r="F129" s="7" t="s">
        <v>10</v>
      </c>
      <c r="G129" s="7" t="s">
        <v>10</v>
      </c>
      <c r="H129" s="7" t="s">
        <v>10</v>
      </c>
    </row>
    <row r="130" s="1" customFormat="1" ht="22" customHeight="1" spans="1:8">
      <c r="A130" s="6" t="str">
        <f t="shared" si="17"/>
        <v>9093</v>
      </c>
      <c r="B130" s="6" t="str">
        <f>"90930517709"</f>
        <v>90930517709</v>
      </c>
      <c r="C130" s="6" t="str">
        <f>"陈维"</f>
        <v>陈维</v>
      </c>
      <c r="D130" s="6" t="str">
        <f t="shared" si="29"/>
        <v>男</v>
      </c>
      <c r="E130" s="7">
        <v>68.9</v>
      </c>
      <c r="F130" s="7">
        <v>86.9</v>
      </c>
      <c r="G130" s="7">
        <v>77.9</v>
      </c>
      <c r="H130" s="6">
        <v>1</v>
      </c>
    </row>
    <row r="131" s="1" customFormat="1" ht="22" customHeight="1" spans="1:8">
      <c r="A131" s="6" t="str">
        <f t="shared" ref="A131:A194" si="30">MID(B131,1,4)</f>
        <v>9093</v>
      </c>
      <c r="B131" s="6" t="str">
        <f>"90930517717"</f>
        <v>90930517717</v>
      </c>
      <c r="C131" s="6" t="str">
        <f>"付天成"</f>
        <v>付天成</v>
      </c>
      <c r="D131" s="6" t="str">
        <f t="shared" si="29"/>
        <v>男</v>
      </c>
      <c r="E131" s="7">
        <v>67.9</v>
      </c>
      <c r="F131" s="7">
        <v>82.22</v>
      </c>
      <c r="G131" s="7">
        <v>75.06</v>
      </c>
      <c r="H131" s="6">
        <v>2</v>
      </c>
    </row>
    <row r="132" s="1" customFormat="1" ht="22" customHeight="1" spans="1:8">
      <c r="A132" s="6" t="str">
        <f t="shared" si="30"/>
        <v>9093</v>
      </c>
      <c r="B132" s="6" t="str">
        <f>"90930517624"</f>
        <v>90930517624</v>
      </c>
      <c r="C132" s="6" t="str">
        <f>"熊雷"</f>
        <v>熊雷</v>
      </c>
      <c r="D132" s="6" t="str">
        <f t="shared" si="29"/>
        <v>男</v>
      </c>
      <c r="E132" s="7">
        <v>68.8</v>
      </c>
      <c r="F132" s="6" t="s">
        <v>9</v>
      </c>
      <c r="G132" s="6" t="s">
        <v>9</v>
      </c>
      <c r="H132" s="6" t="s">
        <v>9</v>
      </c>
    </row>
    <row r="133" s="1" customFormat="1" ht="22" customHeight="1" spans="1:8">
      <c r="A133" s="6" t="str">
        <f t="shared" si="30"/>
        <v>9094</v>
      </c>
      <c r="B133" s="6" t="str">
        <f>"90940517918"</f>
        <v>90940517918</v>
      </c>
      <c r="C133" s="6" t="str">
        <f>"石雪良"</f>
        <v>石雪良</v>
      </c>
      <c r="D133" s="6" t="str">
        <f t="shared" si="29"/>
        <v>男</v>
      </c>
      <c r="E133" s="7">
        <v>79.8</v>
      </c>
      <c r="F133" s="7">
        <v>84.08</v>
      </c>
      <c r="G133" s="7">
        <v>81.94</v>
      </c>
      <c r="H133" s="6">
        <v>1</v>
      </c>
    </row>
    <row r="134" s="1" customFormat="1" ht="22" customHeight="1" spans="1:8">
      <c r="A134" s="6" t="str">
        <f t="shared" si="30"/>
        <v>9094</v>
      </c>
      <c r="B134" s="6" t="str">
        <f>"90940518017"</f>
        <v>90940518017</v>
      </c>
      <c r="C134" s="6" t="str">
        <f>"屈聪聪"</f>
        <v>屈聪聪</v>
      </c>
      <c r="D134" s="6" t="str">
        <f t="shared" ref="D134:D138" si="31">"女"</f>
        <v>女</v>
      </c>
      <c r="E134" s="7">
        <v>74.6</v>
      </c>
      <c r="F134" s="7">
        <v>80</v>
      </c>
      <c r="G134" s="7">
        <v>77.3</v>
      </c>
      <c r="H134" s="6">
        <v>2</v>
      </c>
    </row>
    <row r="135" s="1" customFormat="1" ht="22" customHeight="1" spans="1:8">
      <c r="A135" s="6" t="str">
        <f t="shared" si="30"/>
        <v>9101</v>
      </c>
      <c r="B135" s="6" t="str">
        <f>"91010518226"</f>
        <v>91010518226</v>
      </c>
      <c r="C135" s="6" t="str">
        <f>"赵培阳"</f>
        <v>赵培阳</v>
      </c>
      <c r="D135" s="6" t="str">
        <f t="shared" si="31"/>
        <v>女</v>
      </c>
      <c r="E135" s="7">
        <v>57.4</v>
      </c>
      <c r="F135" s="6" t="s">
        <v>9</v>
      </c>
      <c r="G135" s="6" t="s">
        <v>9</v>
      </c>
      <c r="H135" s="6" t="s">
        <v>9</v>
      </c>
    </row>
    <row r="136" s="1" customFormat="1" ht="22" customHeight="1" spans="1:8">
      <c r="A136" s="6" t="str">
        <f t="shared" si="30"/>
        <v>9102</v>
      </c>
      <c r="B136" s="6" t="str">
        <f>"91020518425"</f>
        <v>91020518425</v>
      </c>
      <c r="C136" s="6" t="str">
        <f>"王琳琳"</f>
        <v>王琳琳</v>
      </c>
      <c r="D136" s="6" t="str">
        <f t="shared" si="31"/>
        <v>女</v>
      </c>
      <c r="E136" s="7">
        <v>72.6</v>
      </c>
      <c r="F136" s="7">
        <v>84.4</v>
      </c>
      <c r="G136" s="7">
        <v>78.5</v>
      </c>
      <c r="H136" s="6">
        <v>1</v>
      </c>
    </row>
    <row r="137" s="1" customFormat="1" ht="22" customHeight="1" spans="1:8">
      <c r="A137" s="6" t="str">
        <f t="shared" si="30"/>
        <v>9102</v>
      </c>
      <c r="B137" s="6" t="str">
        <f>"91020518709"</f>
        <v>91020518709</v>
      </c>
      <c r="C137" s="6" t="str">
        <f>"丁梦涵"</f>
        <v>丁梦涵</v>
      </c>
      <c r="D137" s="6" t="str">
        <f t="shared" si="31"/>
        <v>女</v>
      </c>
      <c r="E137" s="7">
        <v>75.9</v>
      </c>
      <c r="F137" s="7">
        <v>79.66</v>
      </c>
      <c r="G137" s="7">
        <v>77.78</v>
      </c>
      <c r="H137" s="6">
        <v>2</v>
      </c>
    </row>
    <row r="138" s="1" customFormat="1" ht="22" customHeight="1" spans="1:8">
      <c r="A138" s="6" t="str">
        <f t="shared" si="30"/>
        <v>9102</v>
      </c>
      <c r="B138" s="6" t="str">
        <f>"91020518603"</f>
        <v>91020518603</v>
      </c>
      <c r="C138" s="6" t="str">
        <f>"张楠"</f>
        <v>张楠</v>
      </c>
      <c r="D138" s="6" t="str">
        <f t="shared" si="31"/>
        <v>女</v>
      </c>
      <c r="E138" s="7">
        <v>76.8</v>
      </c>
      <c r="F138" s="7">
        <v>75.48</v>
      </c>
      <c r="G138" s="7">
        <v>76.14</v>
      </c>
      <c r="H138" s="6">
        <v>3</v>
      </c>
    </row>
    <row r="139" s="1" customFormat="1" ht="22" customHeight="1" spans="1:8">
      <c r="A139" s="6" t="str">
        <f t="shared" si="30"/>
        <v>9111</v>
      </c>
      <c r="B139" s="6" t="str">
        <f>"91110519017"</f>
        <v>91110519017</v>
      </c>
      <c r="C139" s="6" t="str">
        <f>"蔡宗辉"</f>
        <v>蔡宗辉</v>
      </c>
      <c r="D139" s="6" t="str">
        <f t="shared" ref="D139:D142" si="32">"男"</f>
        <v>男</v>
      </c>
      <c r="E139" s="7">
        <v>74.7</v>
      </c>
      <c r="F139" s="7">
        <v>84.54</v>
      </c>
      <c r="G139" s="7">
        <v>79.62</v>
      </c>
      <c r="H139" s="6">
        <v>1</v>
      </c>
    </row>
    <row r="140" s="1" customFormat="1" ht="22" customHeight="1" spans="1:8">
      <c r="A140" s="6" t="str">
        <f t="shared" si="30"/>
        <v>9111</v>
      </c>
      <c r="B140" s="6" t="str">
        <f>"91110518721"</f>
        <v>91110518721</v>
      </c>
      <c r="C140" s="6" t="str">
        <f>"岳子艺"</f>
        <v>岳子艺</v>
      </c>
      <c r="D140" s="6" t="str">
        <f t="shared" ref="D140:D146" si="33">"女"</f>
        <v>女</v>
      </c>
      <c r="E140" s="7">
        <v>72.4</v>
      </c>
      <c r="F140" s="7">
        <v>86.06</v>
      </c>
      <c r="G140" s="7">
        <v>79.23</v>
      </c>
      <c r="H140" s="6">
        <v>2</v>
      </c>
    </row>
    <row r="141" s="1" customFormat="1" ht="22" customHeight="1" spans="1:8">
      <c r="A141" s="6" t="str">
        <f t="shared" si="30"/>
        <v>9111</v>
      </c>
      <c r="B141" s="6" t="str">
        <f>"91110519106"</f>
        <v>91110519106</v>
      </c>
      <c r="C141" s="6" t="str">
        <f>"杨普"</f>
        <v>杨普</v>
      </c>
      <c r="D141" s="6" t="str">
        <f t="shared" si="32"/>
        <v>男</v>
      </c>
      <c r="E141" s="7">
        <v>71.6</v>
      </c>
      <c r="F141" s="7">
        <v>85.76</v>
      </c>
      <c r="G141" s="7">
        <v>78.68</v>
      </c>
      <c r="H141" s="6">
        <v>3</v>
      </c>
    </row>
    <row r="142" s="1" customFormat="1" ht="22" customHeight="1" spans="1:8">
      <c r="A142" s="6" t="str">
        <f t="shared" si="30"/>
        <v>9111</v>
      </c>
      <c r="B142" s="6" t="str">
        <f>"91110518925"</f>
        <v>91110518925</v>
      </c>
      <c r="C142" s="6" t="str">
        <f>"李祖阳"</f>
        <v>李祖阳</v>
      </c>
      <c r="D142" s="6" t="str">
        <f t="shared" si="32"/>
        <v>男</v>
      </c>
      <c r="E142" s="7">
        <v>73.7</v>
      </c>
      <c r="F142" s="7">
        <v>81.82</v>
      </c>
      <c r="G142" s="7">
        <v>77.76</v>
      </c>
      <c r="H142" s="6">
        <v>4</v>
      </c>
    </row>
    <row r="143" s="1" customFormat="1" ht="22" customHeight="1" spans="1:8">
      <c r="A143" s="6" t="str">
        <f t="shared" si="30"/>
        <v>9111</v>
      </c>
      <c r="B143" s="6" t="str">
        <f>"91110518919"</f>
        <v>91110518919</v>
      </c>
      <c r="C143" s="6" t="str">
        <f>"赵富萍"</f>
        <v>赵富萍</v>
      </c>
      <c r="D143" s="6" t="str">
        <f t="shared" si="33"/>
        <v>女</v>
      </c>
      <c r="E143" s="7">
        <v>72</v>
      </c>
      <c r="F143" s="7">
        <v>83.26</v>
      </c>
      <c r="G143" s="7">
        <v>77.63</v>
      </c>
      <c r="H143" s="6">
        <v>5</v>
      </c>
    </row>
    <row r="144" s="1" customFormat="1" ht="22" customHeight="1" spans="1:8">
      <c r="A144" s="6" t="str">
        <f t="shared" si="30"/>
        <v>9111</v>
      </c>
      <c r="B144" s="6" t="str">
        <f>"91110519203"</f>
        <v>91110519203</v>
      </c>
      <c r="C144" s="6" t="str">
        <f>"代梓勐"</f>
        <v>代梓勐</v>
      </c>
      <c r="D144" s="6" t="str">
        <f t="shared" ref="D144:D148" si="34">"男"</f>
        <v>男</v>
      </c>
      <c r="E144" s="7">
        <v>71</v>
      </c>
      <c r="F144" s="7">
        <v>84.24</v>
      </c>
      <c r="G144" s="7">
        <v>77.62</v>
      </c>
      <c r="H144" s="6">
        <v>6</v>
      </c>
    </row>
    <row r="145" s="1" customFormat="1" ht="22" customHeight="1" spans="1:8">
      <c r="A145" s="6" t="str">
        <f t="shared" si="30"/>
        <v>9121</v>
      </c>
      <c r="B145" s="6" t="str">
        <f>"91210619411"</f>
        <v>91210619411</v>
      </c>
      <c r="C145" s="6" t="str">
        <f>"陈海洋"</f>
        <v>陈海洋</v>
      </c>
      <c r="D145" s="6" t="str">
        <f t="shared" si="33"/>
        <v>女</v>
      </c>
      <c r="E145" s="7">
        <v>68.7</v>
      </c>
      <c r="F145" s="7">
        <v>86.44</v>
      </c>
      <c r="G145" s="7">
        <v>77.57</v>
      </c>
      <c r="H145" s="6">
        <v>1</v>
      </c>
    </row>
    <row r="146" s="1" customFormat="1" ht="22" customHeight="1" spans="1:8">
      <c r="A146" s="6" t="str">
        <f t="shared" si="30"/>
        <v>9121</v>
      </c>
      <c r="B146" s="6" t="str">
        <f>"91210619506"</f>
        <v>91210619506</v>
      </c>
      <c r="C146" s="6" t="str">
        <f>"肖素雅"</f>
        <v>肖素雅</v>
      </c>
      <c r="D146" s="6" t="str">
        <f t="shared" si="33"/>
        <v>女</v>
      </c>
      <c r="E146" s="7">
        <v>70</v>
      </c>
      <c r="F146" s="7">
        <v>80.74</v>
      </c>
      <c r="G146" s="7">
        <v>75.37</v>
      </c>
      <c r="H146" s="6">
        <v>2</v>
      </c>
    </row>
    <row r="147" s="1" customFormat="1" ht="22" customHeight="1" spans="1:8">
      <c r="A147" s="6" t="str">
        <f t="shared" si="30"/>
        <v>9121</v>
      </c>
      <c r="B147" s="6" t="str">
        <f>"91210619505"</f>
        <v>91210619505</v>
      </c>
      <c r="C147" s="6" t="str">
        <f>"师鑫涛"</f>
        <v>师鑫涛</v>
      </c>
      <c r="D147" s="6" t="str">
        <f t="shared" si="34"/>
        <v>男</v>
      </c>
      <c r="E147" s="7">
        <v>66.8</v>
      </c>
      <c r="F147" s="7">
        <v>83.54</v>
      </c>
      <c r="G147" s="7">
        <v>75.17</v>
      </c>
      <c r="H147" s="6">
        <v>3</v>
      </c>
    </row>
    <row r="148" s="1" customFormat="1" ht="22" customHeight="1" spans="1:8">
      <c r="A148" s="6" t="str">
        <f t="shared" si="30"/>
        <v>9122</v>
      </c>
      <c r="B148" s="6" t="str">
        <f>"91220619601"</f>
        <v>91220619601</v>
      </c>
      <c r="C148" s="6" t="str">
        <f>"李书豪"</f>
        <v>李书豪</v>
      </c>
      <c r="D148" s="6" t="str">
        <f t="shared" si="34"/>
        <v>男</v>
      </c>
      <c r="E148" s="7">
        <v>74</v>
      </c>
      <c r="F148" s="7">
        <v>83.94</v>
      </c>
      <c r="G148" s="7">
        <v>78.97</v>
      </c>
      <c r="H148" s="6">
        <v>1</v>
      </c>
    </row>
    <row r="149" s="1" customFormat="1" ht="22" customHeight="1" spans="1:8">
      <c r="A149" s="6" t="str">
        <f t="shared" si="30"/>
        <v>9122</v>
      </c>
      <c r="B149" s="6" t="str">
        <f>"91220619915"</f>
        <v>91220619915</v>
      </c>
      <c r="C149" s="6" t="str">
        <f>"索莹"</f>
        <v>索莹</v>
      </c>
      <c r="D149" s="6" t="str">
        <f t="shared" ref="D149:D152" si="35">"女"</f>
        <v>女</v>
      </c>
      <c r="E149" s="7">
        <v>75.1</v>
      </c>
      <c r="F149" s="7">
        <v>79.86</v>
      </c>
      <c r="G149" s="7">
        <v>77.48</v>
      </c>
      <c r="H149" s="6">
        <v>2</v>
      </c>
    </row>
    <row r="150" s="1" customFormat="1" ht="22" customHeight="1" spans="1:8">
      <c r="A150" s="6" t="str">
        <f t="shared" si="30"/>
        <v>9122</v>
      </c>
      <c r="B150" s="6" t="str">
        <f>"91220619623"</f>
        <v>91220619623</v>
      </c>
      <c r="C150" s="6" t="str">
        <f>"张大赛"</f>
        <v>张大赛</v>
      </c>
      <c r="D150" s="6" t="str">
        <f t="shared" ref="D150:D155" si="36">"男"</f>
        <v>男</v>
      </c>
      <c r="E150" s="7">
        <v>72.7</v>
      </c>
      <c r="F150" s="7">
        <v>79.24</v>
      </c>
      <c r="G150" s="7">
        <v>75.97</v>
      </c>
      <c r="H150" s="6">
        <v>3</v>
      </c>
    </row>
    <row r="151" s="1" customFormat="1" ht="22" customHeight="1" spans="1:8">
      <c r="A151" s="6" t="str">
        <f t="shared" si="30"/>
        <v>9123</v>
      </c>
      <c r="B151" s="6" t="str">
        <f>"91230620207"</f>
        <v>91230620207</v>
      </c>
      <c r="C151" s="6" t="str">
        <f>"王建颖"</f>
        <v>王建颖</v>
      </c>
      <c r="D151" s="6" t="str">
        <f t="shared" si="35"/>
        <v>女</v>
      </c>
      <c r="E151" s="7">
        <v>72.1</v>
      </c>
      <c r="F151" s="7">
        <v>86.26</v>
      </c>
      <c r="G151" s="7">
        <v>79.18</v>
      </c>
      <c r="H151" s="6">
        <v>1</v>
      </c>
    </row>
    <row r="152" s="1" customFormat="1" ht="22" customHeight="1" spans="1:8">
      <c r="A152" s="6" t="str">
        <f t="shared" si="30"/>
        <v>9123</v>
      </c>
      <c r="B152" s="6" t="str">
        <f>"91230620030"</f>
        <v>91230620030</v>
      </c>
      <c r="C152" s="6" t="str">
        <f>"姚佳敏"</f>
        <v>姚佳敏</v>
      </c>
      <c r="D152" s="6" t="str">
        <f t="shared" si="35"/>
        <v>女</v>
      </c>
      <c r="E152" s="7">
        <v>73</v>
      </c>
      <c r="F152" s="7">
        <v>78.84</v>
      </c>
      <c r="G152" s="7">
        <v>75.92</v>
      </c>
      <c r="H152" s="6">
        <v>2</v>
      </c>
    </row>
    <row r="153" s="1" customFormat="1" ht="22" customHeight="1" spans="1:8">
      <c r="A153" s="6" t="str">
        <f t="shared" si="30"/>
        <v>9123</v>
      </c>
      <c r="B153" s="6" t="str">
        <f>"91230620128"</f>
        <v>91230620128</v>
      </c>
      <c r="C153" s="6" t="str">
        <f>"宋亮亮"</f>
        <v>宋亮亮</v>
      </c>
      <c r="D153" s="6" t="str">
        <f t="shared" si="36"/>
        <v>男</v>
      </c>
      <c r="E153" s="7">
        <v>70.3</v>
      </c>
      <c r="F153" s="7">
        <v>77.28</v>
      </c>
      <c r="G153" s="7">
        <v>73.79</v>
      </c>
      <c r="H153" s="6">
        <v>3</v>
      </c>
    </row>
    <row r="154" s="1" customFormat="1" ht="22" customHeight="1" spans="1:8">
      <c r="A154" s="6" t="str">
        <f t="shared" si="30"/>
        <v>9124</v>
      </c>
      <c r="B154" s="6" t="str">
        <f>"91240621123"</f>
        <v>91240621123</v>
      </c>
      <c r="C154" s="6" t="str">
        <f>"杨一鸣"</f>
        <v>杨一鸣</v>
      </c>
      <c r="D154" s="6" t="str">
        <f t="shared" ref="D154:D159" si="37">"女"</f>
        <v>女</v>
      </c>
      <c r="E154" s="7">
        <v>88.1</v>
      </c>
      <c r="F154" s="7">
        <v>83.48</v>
      </c>
      <c r="G154" s="7">
        <v>85.79</v>
      </c>
      <c r="H154" s="6">
        <v>1</v>
      </c>
    </row>
    <row r="155" s="1" customFormat="1" ht="22" customHeight="1" spans="1:8">
      <c r="A155" s="6" t="str">
        <f t="shared" si="30"/>
        <v>9124</v>
      </c>
      <c r="B155" s="6" t="str">
        <f>"91240620314"</f>
        <v>91240620314</v>
      </c>
      <c r="C155" s="6" t="str">
        <f>"李正昊"</f>
        <v>李正昊</v>
      </c>
      <c r="D155" s="6" t="str">
        <f t="shared" si="36"/>
        <v>男</v>
      </c>
      <c r="E155" s="7">
        <v>82.2</v>
      </c>
      <c r="F155" s="7">
        <v>83.72</v>
      </c>
      <c r="G155" s="7">
        <v>82.96</v>
      </c>
      <c r="H155" s="6">
        <v>2</v>
      </c>
    </row>
    <row r="156" s="1" customFormat="1" ht="22" customHeight="1" spans="1:8">
      <c r="A156" s="6" t="str">
        <f t="shared" si="30"/>
        <v>9124</v>
      </c>
      <c r="B156" s="6" t="str">
        <f>"91240621414"</f>
        <v>91240621414</v>
      </c>
      <c r="C156" s="6" t="str">
        <f>"曹雨"</f>
        <v>曹雨</v>
      </c>
      <c r="D156" s="6" t="str">
        <f t="shared" si="37"/>
        <v>女</v>
      </c>
      <c r="E156" s="7">
        <v>77.1</v>
      </c>
      <c r="F156" s="7">
        <v>83.92</v>
      </c>
      <c r="G156" s="7">
        <v>80.51</v>
      </c>
      <c r="H156" s="6">
        <v>3</v>
      </c>
    </row>
    <row r="157" s="1" customFormat="1" ht="22" customHeight="1" spans="1:8">
      <c r="A157" s="6" t="str">
        <f t="shared" si="30"/>
        <v>9124</v>
      </c>
      <c r="B157" s="6" t="str">
        <f>"91240620918"</f>
        <v>91240620918</v>
      </c>
      <c r="C157" s="6" t="str">
        <f>"王统"</f>
        <v>王统</v>
      </c>
      <c r="D157" s="6" t="str">
        <f t="shared" ref="D157:D164" si="38">"男"</f>
        <v>男</v>
      </c>
      <c r="E157" s="7">
        <v>72.3</v>
      </c>
      <c r="F157" s="7">
        <v>85.74</v>
      </c>
      <c r="G157" s="7">
        <v>79.02</v>
      </c>
      <c r="H157" s="6">
        <v>4</v>
      </c>
    </row>
    <row r="158" s="1" customFormat="1" ht="22" customHeight="1" spans="1:8">
      <c r="A158" s="6" t="str">
        <f t="shared" si="30"/>
        <v>9124</v>
      </c>
      <c r="B158" s="6" t="str">
        <f>"91240621110"</f>
        <v>91240621110</v>
      </c>
      <c r="C158" s="6" t="str">
        <f>"薛娇"</f>
        <v>薛娇</v>
      </c>
      <c r="D158" s="6" t="str">
        <f t="shared" si="37"/>
        <v>女</v>
      </c>
      <c r="E158" s="7">
        <v>73.9</v>
      </c>
      <c r="F158" s="7">
        <v>81.36</v>
      </c>
      <c r="G158" s="7">
        <v>77.63</v>
      </c>
      <c r="H158" s="6">
        <v>5</v>
      </c>
    </row>
    <row r="159" s="1" customFormat="1" ht="22" customHeight="1" spans="1:8">
      <c r="A159" s="6" t="str">
        <f t="shared" si="30"/>
        <v>9131</v>
      </c>
      <c r="B159" s="6" t="str">
        <f>"91310622604"</f>
        <v>91310622604</v>
      </c>
      <c r="C159" s="6" t="str">
        <f>"曲奕祎"</f>
        <v>曲奕祎</v>
      </c>
      <c r="D159" s="6" t="str">
        <f t="shared" si="37"/>
        <v>女</v>
      </c>
      <c r="E159" s="7">
        <v>82.1</v>
      </c>
      <c r="F159" s="7">
        <v>79.6</v>
      </c>
      <c r="G159" s="7">
        <v>80.85</v>
      </c>
      <c r="H159" s="6">
        <v>1</v>
      </c>
    </row>
    <row r="160" s="1" customFormat="1" ht="22" customHeight="1" spans="1:8">
      <c r="A160" s="6" t="str">
        <f t="shared" si="30"/>
        <v>9131</v>
      </c>
      <c r="B160" s="6" t="str">
        <f>"91310622711"</f>
        <v>91310622711</v>
      </c>
      <c r="C160" s="6" t="str">
        <f>"耿向阳"</f>
        <v>耿向阳</v>
      </c>
      <c r="D160" s="6" t="str">
        <f t="shared" si="38"/>
        <v>男</v>
      </c>
      <c r="E160" s="7">
        <v>78.3</v>
      </c>
      <c r="F160" s="7">
        <v>81.78</v>
      </c>
      <c r="G160" s="7">
        <v>80.04</v>
      </c>
      <c r="H160" s="6">
        <v>2</v>
      </c>
    </row>
    <row r="161" s="1" customFormat="1" ht="22" customHeight="1" spans="1:8">
      <c r="A161" s="6" t="str">
        <f t="shared" si="30"/>
        <v>9131</v>
      </c>
      <c r="B161" s="6" t="str">
        <f>"91310622407"</f>
        <v>91310622407</v>
      </c>
      <c r="C161" s="6" t="str">
        <f>"刘春燕"</f>
        <v>刘春燕</v>
      </c>
      <c r="D161" s="6" t="str">
        <f>"女"</f>
        <v>女</v>
      </c>
      <c r="E161" s="7">
        <v>76.2</v>
      </c>
      <c r="F161" s="7">
        <v>81.56</v>
      </c>
      <c r="G161" s="7">
        <v>78.88</v>
      </c>
      <c r="H161" s="6">
        <v>3</v>
      </c>
    </row>
    <row r="162" s="1" customFormat="1" ht="22" customHeight="1" spans="1:8">
      <c r="A162" s="6" t="str">
        <f t="shared" si="30"/>
        <v>9131</v>
      </c>
      <c r="B162" s="6" t="str">
        <f>"91310622707"</f>
        <v>91310622707</v>
      </c>
      <c r="C162" s="6" t="str">
        <f>"刘航怡"</f>
        <v>刘航怡</v>
      </c>
      <c r="D162" s="6" t="str">
        <f t="shared" si="38"/>
        <v>男</v>
      </c>
      <c r="E162" s="7">
        <v>78.8</v>
      </c>
      <c r="F162" s="7">
        <v>76.38</v>
      </c>
      <c r="G162" s="7">
        <v>77.59</v>
      </c>
      <c r="H162" s="6">
        <v>4</v>
      </c>
    </row>
    <row r="163" s="1" customFormat="1" ht="22" customHeight="1" spans="1:8">
      <c r="A163" s="6" t="str">
        <f t="shared" si="30"/>
        <v>9131</v>
      </c>
      <c r="B163" s="6" t="str">
        <f>"91310622413"</f>
        <v>91310622413</v>
      </c>
      <c r="C163" s="6" t="str">
        <f>"岳万里"</f>
        <v>岳万里</v>
      </c>
      <c r="D163" s="6" t="str">
        <f t="shared" si="38"/>
        <v>男</v>
      </c>
      <c r="E163" s="7">
        <v>74.5</v>
      </c>
      <c r="F163" s="7">
        <v>80.58</v>
      </c>
      <c r="G163" s="7">
        <v>77.54</v>
      </c>
      <c r="H163" s="6">
        <v>5</v>
      </c>
    </row>
    <row r="164" s="1" customFormat="1" ht="22" customHeight="1" spans="1:8">
      <c r="A164" s="6" t="str">
        <f t="shared" si="30"/>
        <v>9132</v>
      </c>
      <c r="B164" s="6" t="str">
        <f>"91320723920"</f>
        <v>91320723920</v>
      </c>
      <c r="C164" s="6" t="str">
        <f>"赵升"</f>
        <v>赵升</v>
      </c>
      <c r="D164" s="6" t="str">
        <f t="shared" si="38"/>
        <v>男</v>
      </c>
      <c r="E164" s="7">
        <v>78.7</v>
      </c>
      <c r="F164" s="7">
        <v>84.22</v>
      </c>
      <c r="G164" s="7">
        <v>81.46</v>
      </c>
      <c r="H164" s="6">
        <v>1</v>
      </c>
    </row>
    <row r="165" s="1" customFormat="1" ht="22" customHeight="1" spans="1:8">
      <c r="A165" s="6" t="str">
        <f t="shared" si="30"/>
        <v>9132</v>
      </c>
      <c r="B165" s="6" t="str">
        <f>"91320723428"</f>
        <v>91320723428</v>
      </c>
      <c r="C165" s="6" t="str">
        <f>"白冰"</f>
        <v>白冰</v>
      </c>
      <c r="D165" s="6" t="str">
        <f t="shared" ref="D165:D171" si="39">"女"</f>
        <v>女</v>
      </c>
      <c r="E165" s="7">
        <v>75.5</v>
      </c>
      <c r="F165" s="7">
        <v>84.4</v>
      </c>
      <c r="G165" s="7">
        <v>79.95</v>
      </c>
      <c r="H165" s="6">
        <v>2</v>
      </c>
    </row>
    <row r="166" s="1" customFormat="1" ht="22" customHeight="1" spans="1:8">
      <c r="A166" s="6" t="str">
        <f t="shared" si="30"/>
        <v>9132</v>
      </c>
      <c r="B166" s="6" t="str">
        <f>"91320623305"</f>
        <v>91320623305</v>
      </c>
      <c r="C166" s="6" t="str">
        <f>"王振江"</f>
        <v>王振江</v>
      </c>
      <c r="D166" s="6" t="str">
        <f t="shared" ref="D166:D169" si="40">"男"</f>
        <v>男</v>
      </c>
      <c r="E166" s="7">
        <v>77.1</v>
      </c>
      <c r="F166" s="7">
        <v>82.08</v>
      </c>
      <c r="G166" s="7">
        <v>79.59</v>
      </c>
      <c r="H166" s="6">
        <v>3</v>
      </c>
    </row>
    <row r="167" s="1" customFormat="1" ht="22" customHeight="1" spans="1:8">
      <c r="A167" s="6" t="str">
        <f t="shared" si="30"/>
        <v>9132</v>
      </c>
      <c r="B167" s="6" t="str">
        <f>"91320622916"</f>
        <v>91320622916</v>
      </c>
      <c r="C167" s="6" t="str">
        <f>"马英恺"</f>
        <v>马英恺</v>
      </c>
      <c r="D167" s="6" t="str">
        <f t="shared" si="40"/>
        <v>男</v>
      </c>
      <c r="E167" s="7">
        <v>74.7</v>
      </c>
      <c r="F167" s="7">
        <v>82.88</v>
      </c>
      <c r="G167" s="7">
        <v>78.79</v>
      </c>
      <c r="H167" s="6">
        <v>4</v>
      </c>
    </row>
    <row r="168" s="1" customFormat="1" ht="22" customHeight="1" spans="1:8">
      <c r="A168" s="6" t="str">
        <f t="shared" si="30"/>
        <v>9132</v>
      </c>
      <c r="B168" s="6" t="str">
        <f>"91320723711"</f>
        <v>91320723711</v>
      </c>
      <c r="C168" s="6" t="str">
        <f>"门艳飞"</f>
        <v>门艳飞</v>
      </c>
      <c r="D168" s="6" t="str">
        <f t="shared" si="39"/>
        <v>女</v>
      </c>
      <c r="E168" s="7">
        <v>73.3</v>
      </c>
      <c r="F168" s="7">
        <v>81.38</v>
      </c>
      <c r="G168" s="7">
        <v>77.34</v>
      </c>
      <c r="H168" s="6">
        <v>5</v>
      </c>
    </row>
    <row r="169" s="1" customFormat="1" ht="22" customHeight="1" spans="1:8">
      <c r="A169" s="6" t="str">
        <f t="shared" si="30"/>
        <v>9132</v>
      </c>
      <c r="B169" s="6" t="str">
        <f>"91320622909"</f>
        <v>91320622909</v>
      </c>
      <c r="C169" s="6" t="str">
        <f>"王振"</f>
        <v>王振</v>
      </c>
      <c r="D169" s="6" t="str">
        <f t="shared" si="40"/>
        <v>男</v>
      </c>
      <c r="E169" s="7">
        <v>74.3</v>
      </c>
      <c r="F169" s="7">
        <v>79.22</v>
      </c>
      <c r="G169" s="7">
        <v>76.76</v>
      </c>
      <c r="H169" s="6">
        <v>6</v>
      </c>
    </row>
    <row r="170" s="1" customFormat="1" ht="22" customHeight="1" spans="1:8">
      <c r="A170" s="6" t="str">
        <f t="shared" si="30"/>
        <v>9133</v>
      </c>
      <c r="B170" s="6" t="str">
        <f>"91330827314"</f>
        <v>91330827314</v>
      </c>
      <c r="C170" s="6" t="str">
        <f>"王一凡"</f>
        <v>王一凡</v>
      </c>
      <c r="D170" s="6" t="str">
        <f t="shared" si="39"/>
        <v>女</v>
      </c>
      <c r="E170" s="7">
        <v>85.1</v>
      </c>
      <c r="F170" s="7">
        <v>81.72</v>
      </c>
      <c r="G170" s="7">
        <v>83.41</v>
      </c>
      <c r="H170" s="6">
        <v>1</v>
      </c>
    </row>
    <row r="171" s="1" customFormat="1" ht="22" customHeight="1" spans="1:8">
      <c r="A171" s="6" t="str">
        <f t="shared" si="30"/>
        <v>9133</v>
      </c>
      <c r="B171" s="6" t="str">
        <f>"91330827018"</f>
        <v>91330827018</v>
      </c>
      <c r="C171" s="6" t="str">
        <f>"李静玉"</f>
        <v>李静玉</v>
      </c>
      <c r="D171" s="6" t="str">
        <f t="shared" si="39"/>
        <v>女</v>
      </c>
      <c r="E171" s="7">
        <v>76</v>
      </c>
      <c r="F171" s="7">
        <v>84.58</v>
      </c>
      <c r="G171" s="7">
        <v>80.29</v>
      </c>
      <c r="H171" s="6">
        <v>2</v>
      </c>
    </row>
    <row r="172" s="1" customFormat="1" ht="22" customHeight="1" spans="1:8">
      <c r="A172" s="6" t="str">
        <f t="shared" si="30"/>
        <v>9133</v>
      </c>
      <c r="B172" s="6" t="str">
        <f>"91330725601"</f>
        <v>91330725601</v>
      </c>
      <c r="C172" s="6" t="str">
        <f>"张伟鑫"</f>
        <v>张伟鑫</v>
      </c>
      <c r="D172" s="6" t="str">
        <f t="shared" ref="D172:D176" si="41">"男"</f>
        <v>男</v>
      </c>
      <c r="E172" s="7">
        <v>80.3</v>
      </c>
      <c r="F172" s="7">
        <v>79.68</v>
      </c>
      <c r="G172" s="7">
        <v>79.99</v>
      </c>
      <c r="H172" s="6">
        <v>3</v>
      </c>
    </row>
    <row r="173" s="1" customFormat="1" ht="22" customHeight="1" spans="1:8">
      <c r="A173" s="6" t="str">
        <f t="shared" si="30"/>
        <v>9133</v>
      </c>
      <c r="B173" s="6" t="str">
        <f>"91330827714"</f>
        <v>91330827714</v>
      </c>
      <c r="C173" s="6" t="str">
        <f>"刘冲"</f>
        <v>刘冲</v>
      </c>
      <c r="D173" s="6" t="str">
        <f t="shared" si="41"/>
        <v>男</v>
      </c>
      <c r="E173" s="7">
        <v>75.1</v>
      </c>
      <c r="F173" s="7">
        <v>84.22</v>
      </c>
      <c r="G173" s="7">
        <v>79.66</v>
      </c>
      <c r="H173" s="6">
        <v>4</v>
      </c>
    </row>
    <row r="174" s="1" customFormat="1" ht="22" customHeight="1" spans="1:8">
      <c r="A174" s="6" t="str">
        <f t="shared" si="30"/>
        <v>9133</v>
      </c>
      <c r="B174" s="6" t="str">
        <f>"91330827104"</f>
        <v>91330827104</v>
      </c>
      <c r="C174" s="6" t="str">
        <f>"万动"</f>
        <v>万动</v>
      </c>
      <c r="D174" s="6" t="str">
        <f t="shared" si="41"/>
        <v>男</v>
      </c>
      <c r="E174" s="7">
        <v>75.3</v>
      </c>
      <c r="F174" s="7">
        <v>82.3</v>
      </c>
      <c r="G174" s="7">
        <v>78.8</v>
      </c>
      <c r="H174" s="6">
        <v>5</v>
      </c>
    </row>
    <row r="175" s="1" customFormat="1" ht="22" customHeight="1" spans="1:8">
      <c r="A175" s="6" t="str">
        <f t="shared" si="30"/>
        <v>9133</v>
      </c>
      <c r="B175" s="6" t="str">
        <f>"91330725302"</f>
        <v>91330725302</v>
      </c>
      <c r="C175" s="6" t="str">
        <f>"刁任彬"</f>
        <v>刁任彬</v>
      </c>
      <c r="D175" s="6" t="str">
        <f t="shared" si="41"/>
        <v>男</v>
      </c>
      <c r="E175" s="7">
        <v>75.8</v>
      </c>
      <c r="F175" s="7">
        <v>81.2</v>
      </c>
      <c r="G175" s="7">
        <v>78.5</v>
      </c>
      <c r="H175" s="6">
        <v>6</v>
      </c>
    </row>
    <row r="176" s="1" customFormat="1" ht="22" customHeight="1" spans="1:8">
      <c r="A176" s="6" t="str">
        <f t="shared" si="30"/>
        <v>9133</v>
      </c>
      <c r="B176" s="6" t="str">
        <f>"91330726205"</f>
        <v>91330726205</v>
      </c>
      <c r="C176" s="6" t="str">
        <f>"任伟锋"</f>
        <v>任伟锋</v>
      </c>
      <c r="D176" s="6" t="str">
        <f t="shared" si="41"/>
        <v>男</v>
      </c>
      <c r="E176" s="7">
        <v>76.8</v>
      </c>
      <c r="F176" s="7">
        <v>79.96</v>
      </c>
      <c r="G176" s="7">
        <v>78.38</v>
      </c>
      <c r="H176" s="6">
        <v>7</v>
      </c>
    </row>
    <row r="177" s="1" customFormat="1" ht="22" customHeight="1" spans="1:8">
      <c r="A177" s="6" t="str">
        <f t="shared" si="30"/>
        <v>9133</v>
      </c>
      <c r="B177" s="6" t="str">
        <f>"91330724904"</f>
        <v>91330724904</v>
      </c>
      <c r="C177" s="6" t="str">
        <f>"岳盼盼"</f>
        <v>岳盼盼</v>
      </c>
      <c r="D177" s="6" t="str">
        <f t="shared" ref="D177:D182" si="42">"女"</f>
        <v>女</v>
      </c>
      <c r="E177" s="7">
        <v>75</v>
      </c>
      <c r="F177" s="7">
        <v>79.76</v>
      </c>
      <c r="G177" s="7">
        <v>77.38</v>
      </c>
      <c r="H177" s="6">
        <v>8</v>
      </c>
    </row>
    <row r="178" s="1" customFormat="1" ht="22" customHeight="1" spans="1:8">
      <c r="A178" s="6" t="str">
        <f t="shared" si="30"/>
        <v>9133</v>
      </c>
      <c r="B178" s="6" t="str">
        <f>"91330724307"</f>
        <v>91330724307</v>
      </c>
      <c r="C178" s="6" t="str">
        <f>"金津伊"</f>
        <v>金津伊</v>
      </c>
      <c r="D178" s="6" t="str">
        <f t="shared" si="42"/>
        <v>女</v>
      </c>
      <c r="E178" s="7">
        <v>80.5</v>
      </c>
      <c r="F178" s="7">
        <v>71.64</v>
      </c>
      <c r="G178" s="7">
        <v>76.07</v>
      </c>
      <c r="H178" s="6">
        <v>9</v>
      </c>
    </row>
    <row r="179" s="1" customFormat="1" ht="22" customHeight="1" spans="1:8">
      <c r="A179" s="6" t="str">
        <f t="shared" si="30"/>
        <v>9141</v>
      </c>
      <c r="B179" s="6" t="str">
        <f>"91410827910"</f>
        <v>91410827910</v>
      </c>
      <c r="C179" s="6" t="str">
        <f>"赵璐"</f>
        <v>赵璐</v>
      </c>
      <c r="D179" s="6" t="str">
        <f t="shared" si="42"/>
        <v>女</v>
      </c>
      <c r="E179" s="7">
        <v>77.4</v>
      </c>
      <c r="F179" s="7">
        <v>85.3</v>
      </c>
      <c r="G179" s="7">
        <v>81.35</v>
      </c>
      <c r="H179" s="6">
        <v>1</v>
      </c>
    </row>
    <row r="180" s="1" customFormat="1" ht="22" customHeight="1" spans="1:8">
      <c r="A180" s="6" t="str">
        <f t="shared" si="30"/>
        <v>9141</v>
      </c>
      <c r="B180" s="6" t="str">
        <f>"91410828001"</f>
        <v>91410828001</v>
      </c>
      <c r="C180" s="6" t="str">
        <f>"孙双双"</f>
        <v>孙双双</v>
      </c>
      <c r="D180" s="6" t="str">
        <f t="shared" si="42"/>
        <v>女</v>
      </c>
      <c r="E180" s="7">
        <v>71.8</v>
      </c>
      <c r="F180" s="7">
        <v>84.34</v>
      </c>
      <c r="G180" s="7">
        <v>78.07</v>
      </c>
      <c r="H180" s="6">
        <v>2</v>
      </c>
    </row>
    <row r="181" s="1" customFormat="1" ht="22" customHeight="1" spans="1:8">
      <c r="A181" s="6" t="str">
        <f t="shared" si="30"/>
        <v>9141</v>
      </c>
      <c r="B181" s="6" t="str">
        <f>"91410827914"</f>
        <v>91410827914</v>
      </c>
      <c r="C181" s="6" t="str">
        <f>"张淑光"</f>
        <v>张淑光</v>
      </c>
      <c r="D181" s="6" t="str">
        <f t="shared" si="42"/>
        <v>女</v>
      </c>
      <c r="E181" s="7">
        <v>70.8</v>
      </c>
      <c r="F181" s="7">
        <v>69.88</v>
      </c>
      <c r="G181" s="7">
        <v>70.34</v>
      </c>
      <c r="H181" s="6">
        <v>3</v>
      </c>
    </row>
    <row r="182" s="1" customFormat="1" ht="22" customHeight="1" spans="1:8">
      <c r="A182" s="6" t="str">
        <f t="shared" si="30"/>
        <v>9142</v>
      </c>
      <c r="B182" s="6" t="str">
        <f>"91420828706"</f>
        <v>91420828706</v>
      </c>
      <c r="C182" s="6" t="str">
        <f>"梁晨"</f>
        <v>梁晨</v>
      </c>
      <c r="D182" s="6" t="str">
        <f t="shared" si="42"/>
        <v>女</v>
      </c>
      <c r="E182" s="7">
        <v>74.3</v>
      </c>
      <c r="F182" s="7">
        <v>82.4</v>
      </c>
      <c r="G182" s="7">
        <v>78.35</v>
      </c>
      <c r="H182" s="6">
        <v>1</v>
      </c>
    </row>
    <row r="183" s="1" customFormat="1" ht="22" customHeight="1" spans="1:8">
      <c r="A183" s="6" t="str">
        <f t="shared" si="30"/>
        <v>9142</v>
      </c>
      <c r="B183" s="6" t="str">
        <f>"91420828508"</f>
        <v>91420828508</v>
      </c>
      <c r="C183" s="6" t="str">
        <f>"楚龙鹏"</f>
        <v>楚龙鹏</v>
      </c>
      <c r="D183" s="6" t="str">
        <f t="shared" ref="D183:D188" si="43">"男"</f>
        <v>男</v>
      </c>
      <c r="E183" s="7">
        <v>71.5</v>
      </c>
      <c r="F183" s="7">
        <v>80.28</v>
      </c>
      <c r="G183" s="7">
        <v>75.89</v>
      </c>
      <c r="H183" s="6">
        <v>2</v>
      </c>
    </row>
    <row r="184" s="1" customFormat="1" ht="22" customHeight="1" spans="1:8">
      <c r="A184" s="6" t="str">
        <f t="shared" si="30"/>
        <v>9142</v>
      </c>
      <c r="B184" s="6" t="str">
        <f>"91420828612"</f>
        <v>91420828612</v>
      </c>
      <c r="C184" s="6" t="str">
        <f>"张宁"</f>
        <v>张宁</v>
      </c>
      <c r="D184" s="6" t="str">
        <f t="shared" si="43"/>
        <v>男</v>
      </c>
      <c r="E184" s="7">
        <v>71.2</v>
      </c>
      <c r="F184" s="7">
        <v>79.04</v>
      </c>
      <c r="G184" s="7">
        <v>75.12</v>
      </c>
      <c r="H184" s="6">
        <v>3</v>
      </c>
    </row>
    <row r="185" s="1" customFormat="1" ht="22" customHeight="1" spans="1:8">
      <c r="A185" s="6" t="str">
        <f t="shared" si="30"/>
        <v>9151</v>
      </c>
      <c r="B185" s="6" t="str">
        <f>"91510828914"</f>
        <v>91510828914</v>
      </c>
      <c r="C185" s="6" t="str">
        <f>"盛丽娜"</f>
        <v>盛丽娜</v>
      </c>
      <c r="D185" s="6" t="str">
        <f t="shared" ref="D185:D190" si="44">"女"</f>
        <v>女</v>
      </c>
      <c r="E185" s="7">
        <v>72.6</v>
      </c>
      <c r="F185" s="7">
        <v>81.34</v>
      </c>
      <c r="G185" s="7">
        <v>76.97</v>
      </c>
      <c r="H185" s="6">
        <v>1</v>
      </c>
    </row>
    <row r="186" s="1" customFormat="1" ht="22" customHeight="1" spans="1:8">
      <c r="A186" s="6" t="str">
        <f t="shared" si="30"/>
        <v>9151</v>
      </c>
      <c r="B186" s="6" t="str">
        <f>"91510829015"</f>
        <v>91510829015</v>
      </c>
      <c r="C186" s="6" t="str">
        <f>"张丹"</f>
        <v>张丹</v>
      </c>
      <c r="D186" s="6" t="str">
        <f t="shared" si="44"/>
        <v>女</v>
      </c>
      <c r="E186" s="7">
        <v>72.4</v>
      </c>
      <c r="F186" s="7">
        <v>80.38</v>
      </c>
      <c r="G186" s="7">
        <v>76.39</v>
      </c>
      <c r="H186" s="6">
        <v>2</v>
      </c>
    </row>
    <row r="187" s="1" customFormat="1" ht="22" customHeight="1" spans="1:8">
      <c r="A187" s="6" t="str">
        <f t="shared" si="30"/>
        <v>9151</v>
      </c>
      <c r="B187" s="6" t="str">
        <f>"91510829012"</f>
        <v>91510829012</v>
      </c>
      <c r="C187" s="6" t="str">
        <f>"吴崇粼"</f>
        <v>吴崇粼</v>
      </c>
      <c r="D187" s="6" t="str">
        <f t="shared" si="43"/>
        <v>男</v>
      </c>
      <c r="E187" s="7">
        <v>67.4</v>
      </c>
      <c r="F187" s="7">
        <v>72.78</v>
      </c>
      <c r="G187" s="7">
        <v>70.09</v>
      </c>
      <c r="H187" s="6">
        <v>3</v>
      </c>
    </row>
    <row r="188" s="1" customFormat="1" ht="22" customHeight="1" spans="1:8">
      <c r="A188" s="6" t="str">
        <f t="shared" si="30"/>
        <v>9152</v>
      </c>
      <c r="B188" s="6" t="str">
        <f>"91520829208"</f>
        <v>91520829208</v>
      </c>
      <c r="C188" s="6" t="str">
        <f>"李睿博"</f>
        <v>李睿博</v>
      </c>
      <c r="D188" s="6" t="str">
        <f t="shared" si="43"/>
        <v>男</v>
      </c>
      <c r="E188" s="7">
        <v>70.3</v>
      </c>
      <c r="F188" s="7">
        <v>85</v>
      </c>
      <c r="G188" s="7">
        <v>77.65</v>
      </c>
      <c r="H188" s="6">
        <v>1</v>
      </c>
    </row>
    <row r="189" s="1" customFormat="1" ht="22" customHeight="1" spans="1:8">
      <c r="A189" s="6" t="str">
        <f t="shared" si="30"/>
        <v>9152</v>
      </c>
      <c r="B189" s="6" t="str">
        <f>"91520829123"</f>
        <v>91520829123</v>
      </c>
      <c r="C189" s="6" t="str">
        <f>"张鑫雨"</f>
        <v>张鑫雨</v>
      </c>
      <c r="D189" s="6" t="str">
        <f t="shared" si="44"/>
        <v>女</v>
      </c>
      <c r="E189" s="7">
        <v>69.2</v>
      </c>
      <c r="F189" s="7">
        <v>83.06</v>
      </c>
      <c r="G189" s="7">
        <v>76.13</v>
      </c>
      <c r="H189" s="6">
        <v>2</v>
      </c>
    </row>
    <row r="190" s="1" customFormat="1" ht="22" customHeight="1" spans="1:8">
      <c r="A190" s="6" t="str">
        <f t="shared" si="30"/>
        <v>9152</v>
      </c>
      <c r="B190" s="6" t="str">
        <f>"91520829428"</f>
        <v>91520829428</v>
      </c>
      <c r="C190" s="6" t="str">
        <f>"邓镕卓"</f>
        <v>邓镕卓</v>
      </c>
      <c r="D190" s="6" t="str">
        <f t="shared" si="44"/>
        <v>女</v>
      </c>
      <c r="E190" s="7">
        <v>71.4</v>
      </c>
      <c r="F190" s="7">
        <v>71.3</v>
      </c>
      <c r="G190" s="7">
        <v>71.35</v>
      </c>
      <c r="H190" s="6">
        <v>3</v>
      </c>
    </row>
    <row r="191" s="1" customFormat="1" ht="22" customHeight="1" spans="1:8">
      <c r="A191" s="6" t="str">
        <f t="shared" si="30"/>
        <v>9153</v>
      </c>
      <c r="B191" s="6" t="str">
        <f>"91530829722"</f>
        <v>91530829722</v>
      </c>
      <c r="C191" s="6" t="str">
        <f>"张清钰"</f>
        <v>张清钰</v>
      </c>
      <c r="D191" s="6" t="str">
        <f t="shared" ref="D191:D193" si="45">"男"</f>
        <v>男</v>
      </c>
      <c r="E191" s="7">
        <v>73.8</v>
      </c>
      <c r="F191" s="7">
        <v>83.9</v>
      </c>
      <c r="G191" s="7">
        <v>78.85</v>
      </c>
      <c r="H191" s="6">
        <v>1</v>
      </c>
    </row>
    <row r="192" s="1" customFormat="1" ht="22" customHeight="1" spans="1:8">
      <c r="A192" s="6" t="str">
        <f t="shared" si="30"/>
        <v>9153</v>
      </c>
      <c r="B192" s="6" t="str">
        <f>"91530829902"</f>
        <v>91530829902</v>
      </c>
      <c r="C192" s="6" t="str">
        <f>"周堂黎"</f>
        <v>周堂黎</v>
      </c>
      <c r="D192" s="6" t="str">
        <f t="shared" si="45"/>
        <v>男</v>
      </c>
      <c r="E192" s="7">
        <v>73.6</v>
      </c>
      <c r="F192" s="7">
        <v>83.86</v>
      </c>
      <c r="G192" s="7">
        <v>78.73</v>
      </c>
      <c r="H192" s="6">
        <v>2</v>
      </c>
    </row>
    <row r="193" s="1" customFormat="1" ht="22" customHeight="1" spans="1:8">
      <c r="A193" s="6" t="str">
        <f t="shared" si="30"/>
        <v>9153</v>
      </c>
      <c r="B193" s="6" t="str">
        <f>"91530830013"</f>
        <v>91530830013</v>
      </c>
      <c r="C193" s="6" t="str">
        <f>"包金成"</f>
        <v>包金成</v>
      </c>
      <c r="D193" s="6" t="str">
        <f t="shared" si="45"/>
        <v>男</v>
      </c>
      <c r="E193" s="7">
        <v>72.9</v>
      </c>
      <c r="F193" s="7">
        <v>81.36</v>
      </c>
      <c r="G193" s="7">
        <v>77.13</v>
      </c>
      <c r="H193" s="6">
        <v>3</v>
      </c>
    </row>
    <row r="194" s="1" customFormat="1" ht="22" customHeight="1" spans="1:8">
      <c r="A194" s="6" t="str">
        <f t="shared" si="30"/>
        <v>9161</v>
      </c>
      <c r="B194" s="6" t="str">
        <f>"91610830316"</f>
        <v>91610830316</v>
      </c>
      <c r="C194" s="6" t="str">
        <f>"聂德霜"</f>
        <v>聂德霜</v>
      </c>
      <c r="D194" s="6" t="str">
        <f t="shared" ref="D194:D197" si="46">"女"</f>
        <v>女</v>
      </c>
      <c r="E194" s="7">
        <v>73.6</v>
      </c>
      <c r="F194" s="7">
        <v>86.52</v>
      </c>
      <c r="G194" s="7">
        <v>80.06</v>
      </c>
      <c r="H194" s="6">
        <v>1</v>
      </c>
    </row>
    <row r="195" s="1" customFormat="1" ht="22" customHeight="1" spans="1:8">
      <c r="A195" s="6" t="str">
        <f t="shared" ref="A195:A214" si="47">MID(B195,1,4)</f>
        <v>9161</v>
      </c>
      <c r="B195" s="6" t="str">
        <f>"91610830319"</f>
        <v>91610830319</v>
      </c>
      <c r="C195" s="6" t="str">
        <f>"秦贝贝"</f>
        <v>秦贝贝</v>
      </c>
      <c r="D195" s="6" t="str">
        <f t="shared" si="46"/>
        <v>女</v>
      </c>
      <c r="E195" s="7">
        <v>75.3</v>
      </c>
      <c r="F195" s="7">
        <v>84.4</v>
      </c>
      <c r="G195" s="7">
        <v>79.85</v>
      </c>
      <c r="H195" s="6">
        <v>2</v>
      </c>
    </row>
    <row r="196" s="1" customFormat="1" ht="22" customHeight="1" spans="1:8">
      <c r="A196" s="6" t="str">
        <f t="shared" si="47"/>
        <v>9161</v>
      </c>
      <c r="B196" s="6" t="str">
        <f>"91610830120"</f>
        <v>91610830120</v>
      </c>
      <c r="C196" s="6" t="str">
        <f>"王莹丽"</f>
        <v>王莹丽</v>
      </c>
      <c r="D196" s="6" t="str">
        <f t="shared" si="46"/>
        <v>女</v>
      </c>
      <c r="E196" s="7">
        <v>75.2</v>
      </c>
      <c r="F196" s="7">
        <v>83.5</v>
      </c>
      <c r="G196" s="7">
        <v>79.35</v>
      </c>
      <c r="H196" s="6">
        <v>3</v>
      </c>
    </row>
    <row r="197" s="1" customFormat="1" ht="22" customHeight="1" spans="1:8">
      <c r="A197" s="6" t="str">
        <f t="shared" si="47"/>
        <v>9162</v>
      </c>
      <c r="B197" s="6" t="str">
        <f>"91620830428"</f>
        <v>91620830428</v>
      </c>
      <c r="C197" s="6" t="str">
        <f>"安俊佳"</f>
        <v>安俊佳</v>
      </c>
      <c r="D197" s="6" t="str">
        <f t="shared" si="46"/>
        <v>女</v>
      </c>
      <c r="E197" s="7">
        <v>66.1</v>
      </c>
      <c r="F197" s="7">
        <v>84.32</v>
      </c>
      <c r="G197" s="7">
        <v>75.21</v>
      </c>
      <c r="H197" s="6">
        <v>1</v>
      </c>
    </row>
    <row r="198" s="1" customFormat="1" ht="22" customHeight="1" spans="1:8">
      <c r="A198" s="6" t="str">
        <f t="shared" si="47"/>
        <v>9162</v>
      </c>
      <c r="B198" s="6" t="str">
        <f>"91620830418"</f>
        <v>91620830418</v>
      </c>
      <c r="C198" s="6" t="str">
        <f>"祝程"</f>
        <v>祝程</v>
      </c>
      <c r="D198" s="6" t="str">
        <f t="shared" ref="D198:D205" si="48">"男"</f>
        <v>男</v>
      </c>
      <c r="E198" s="7">
        <v>67</v>
      </c>
      <c r="F198" s="7">
        <v>82.84</v>
      </c>
      <c r="G198" s="7">
        <v>74.92</v>
      </c>
      <c r="H198" s="6">
        <v>2</v>
      </c>
    </row>
    <row r="199" s="1" customFormat="1" ht="22" customHeight="1" spans="1:8">
      <c r="A199" s="6" t="str">
        <f t="shared" si="47"/>
        <v>9162</v>
      </c>
      <c r="B199" s="6" t="str">
        <f>"91620830507"</f>
        <v>91620830507</v>
      </c>
      <c r="C199" s="6" t="str">
        <f>"张勇"</f>
        <v>张勇</v>
      </c>
      <c r="D199" s="6" t="str">
        <f t="shared" si="48"/>
        <v>男</v>
      </c>
      <c r="E199" s="7">
        <v>64.8</v>
      </c>
      <c r="F199" s="7">
        <v>81.14</v>
      </c>
      <c r="G199" s="7">
        <v>72.97</v>
      </c>
      <c r="H199" s="6">
        <v>3</v>
      </c>
    </row>
    <row r="200" s="1" customFormat="1" ht="22" customHeight="1" spans="1:8">
      <c r="A200" s="6" t="str">
        <f t="shared" si="47"/>
        <v>9163</v>
      </c>
      <c r="B200" s="6" t="str">
        <f>"91630830709"</f>
        <v>91630830709</v>
      </c>
      <c r="C200" s="6" t="str">
        <f>"倪铭甲"</f>
        <v>倪铭甲</v>
      </c>
      <c r="D200" s="6" t="str">
        <f t="shared" si="48"/>
        <v>男</v>
      </c>
      <c r="E200" s="7">
        <v>77.3</v>
      </c>
      <c r="F200" s="7">
        <v>82.18</v>
      </c>
      <c r="G200" s="7">
        <v>79.74</v>
      </c>
      <c r="H200" s="6">
        <v>1</v>
      </c>
    </row>
    <row r="201" s="1" customFormat="1" ht="22" customHeight="1" spans="1:8">
      <c r="A201" s="6" t="str">
        <f t="shared" si="47"/>
        <v>9163</v>
      </c>
      <c r="B201" s="6" t="str">
        <f>"91630830618"</f>
        <v>91630830618</v>
      </c>
      <c r="C201" s="6" t="str">
        <f>"刘心"</f>
        <v>刘心</v>
      </c>
      <c r="D201" s="6" t="str">
        <f t="shared" si="48"/>
        <v>男</v>
      </c>
      <c r="E201" s="7">
        <v>73.4</v>
      </c>
      <c r="F201" s="7">
        <v>83.88</v>
      </c>
      <c r="G201" s="7">
        <v>78.64</v>
      </c>
      <c r="H201" s="6">
        <v>2</v>
      </c>
    </row>
    <row r="202" s="1" customFormat="1" ht="22" customHeight="1" spans="1:8">
      <c r="A202" s="6" t="str">
        <f t="shared" si="47"/>
        <v>9163</v>
      </c>
      <c r="B202" s="6" t="str">
        <f>"91630830717"</f>
        <v>91630830717</v>
      </c>
      <c r="C202" s="6" t="str">
        <f>"何玉飞"</f>
        <v>何玉飞</v>
      </c>
      <c r="D202" s="6" t="str">
        <f t="shared" si="48"/>
        <v>男</v>
      </c>
      <c r="E202" s="7">
        <v>75.3</v>
      </c>
      <c r="F202" s="7">
        <v>80.5</v>
      </c>
      <c r="G202" s="7">
        <v>77.9</v>
      </c>
      <c r="H202" s="6">
        <v>3</v>
      </c>
    </row>
    <row r="203" s="1" customFormat="1" ht="22" customHeight="1" spans="1:8">
      <c r="A203" s="6" t="str">
        <f t="shared" si="47"/>
        <v>9171</v>
      </c>
      <c r="B203" s="6" t="str">
        <f>"91710830815"</f>
        <v>91710830815</v>
      </c>
      <c r="C203" s="6" t="str">
        <f>"王傲"</f>
        <v>王傲</v>
      </c>
      <c r="D203" s="6" t="str">
        <f t="shared" si="48"/>
        <v>男</v>
      </c>
      <c r="E203" s="7">
        <v>73.7</v>
      </c>
      <c r="F203" s="7">
        <v>84.9</v>
      </c>
      <c r="G203" s="7">
        <v>79.3</v>
      </c>
      <c r="H203" s="6">
        <v>1</v>
      </c>
    </row>
    <row r="204" s="1" customFormat="1" ht="22" customHeight="1" spans="1:8">
      <c r="A204" s="6" t="str">
        <f t="shared" si="47"/>
        <v>9171</v>
      </c>
      <c r="B204" s="6" t="str">
        <f>"91710831014"</f>
        <v>91710831014</v>
      </c>
      <c r="C204" s="6" t="str">
        <f>"王佳多"</f>
        <v>王佳多</v>
      </c>
      <c r="D204" s="6" t="str">
        <f t="shared" si="48"/>
        <v>男</v>
      </c>
      <c r="E204" s="7">
        <v>73.8</v>
      </c>
      <c r="F204" s="7">
        <v>77.74</v>
      </c>
      <c r="G204" s="7">
        <v>75.77</v>
      </c>
      <c r="H204" s="6">
        <v>2</v>
      </c>
    </row>
    <row r="205" s="1" customFormat="1" ht="22" customHeight="1" spans="1:8">
      <c r="A205" s="6" t="str">
        <f t="shared" si="47"/>
        <v>9171</v>
      </c>
      <c r="B205" s="6" t="str">
        <f>"91710831010"</f>
        <v>91710831010</v>
      </c>
      <c r="C205" s="6" t="str">
        <f>"马思伟"</f>
        <v>马思伟</v>
      </c>
      <c r="D205" s="6" t="str">
        <f t="shared" si="48"/>
        <v>男</v>
      </c>
      <c r="E205" s="7">
        <v>73.4</v>
      </c>
      <c r="F205" s="7">
        <v>69.86</v>
      </c>
      <c r="G205" s="7">
        <v>71.63</v>
      </c>
      <c r="H205" s="6">
        <v>3</v>
      </c>
    </row>
    <row r="206" s="1" customFormat="1" ht="22" customHeight="1" spans="1:8">
      <c r="A206" s="6" t="str">
        <f t="shared" si="47"/>
        <v>9172</v>
      </c>
      <c r="B206" s="6" t="str">
        <f>"91720831208"</f>
        <v>91720831208</v>
      </c>
      <c r="C206" s="6" t="str">
        <f>"郑书瑾"</f>
        <v>郑书瑾</v>
      </c>
      <c r="D206" s="6" t="str">
        <f t="shared" ref="D206:D208" si="49">"女"</f>
        <v>女</v>
      </c>
      <c r="E206" s="7">
        <v>73.6</v>
      </c>
      <c r="F206" s="7">
        <v>83.5</v>
      </c>
      <c r="G206" s="7">
        <v>78.55</v>
      </c>
      <c r="H206" s="6">
        <v>1</v>
      </c>
    </row>
    <row r="207" s="1" customFormat="1" ht="22" customHeight="1" spans="1:8">
      <c r="A207" s="6" t="str">
        <f t="shared" si="47"/>
        <v>9172</v>
      </c>
      <c r="B207" s="6" t="str">
        <f>"91720831210"</f>
        <v>91720831210</v>
      </c>
      <c r="C207" s="6" t="str">
        <f>"郭俊雅"</f>
        <v>郭俊雅</v>
      </c>
      <c r="D207" s="6" t="str">
        <f t="shared" si="49"/>
        <v>女</v>
      </c>
      <c r="E207" s="7">
        <v>71.8</v>
      </c>
      <c r="F207" s="7">
        <v>82.52</v>
      </c>
      <c r="G207" s="7">
        <v>77.16</v>
      </c>
      <c r="H207" s="6">
        <v>2</v>
      </c>
    </row>
    <row r="208" s="1" customFormat="1" ht="22" customHeight="1" spans="1:8">
      <c r="A208" s="6" t="str">
        <f t="shared" si="47"/>
        <v>9172</v>
      </c>
      <c r="B208" s="6" t="str">
        <f>"91720831030"</f>
        <v>91720831030</v>
      </c>
      <c r="C208" s="6" t="str">
        <f>"吴怡菲"</f>
        <v>吴怡菲</v>
      </c>
      <c r="D208" s="6" t="str">
        <f t="shared" si="49"/>
        <v>女</v>
      </c>
      <c r="E208" s="7">
        <v>71.5</v>
      </c>
      <c r="F208" s="7">
        <v>82.32</v>
      </c>
      <c r="G208" s="7">
        <v>76.91</v>
      </c>
      <c r="H208" s="6">
        <v>3</v>
      </c>
    </row>
    <row r="209" s="1" customFormat="1" ht="22" customHeight="1" spans="1:8">
      <c r="A209" s="6" t="str">
        <f t="shared" si="47"/>
        <v>9173</v>
      </c>
      <c r="B209" s="6" t="str">
        <f>"91730831528"</f>
        <v>91730831528</v>
      </c>
      <c r="C209" s="6" t="str">
        <f>"赵琛"</f>
        <v>赵琛</v>
      </c>
      <c r="D209" s="6" t="str">
        <f t="shared" ref="D209:D212" si="50">"男"</f>
        <v>男</v>
      </c>
      <c r="E209" s="7">
        <v>86.1</v>
      </c>
      <c r="F209" s="7">
        <v>80.94</v>
      </c>
      <c r="G209" s="7">
        <v>83.52</v>
      </c>
      <c r="H209" s="6">
        <v>1</v>
      </c>
    </row>
    <row r="210" s="1" customFormat="1" ht="22" customHeight="1" spans="1:8">
      <c r="A210" s="6" t="str">
        <f t="shared" si="47"/>
        <v>9173</v>
      </c>
      <c r="B210" s="6" t="str">
        <f>"91730931804"</f>
        <v>91730931804</v>
      </c>
      <c r="C210" s="6" t="str">
        <f>"张元烨"</f>
        <v>张元烨</v>
      </c>
      <c r="D210" s="6" t="str">
        <f>"女"</f>
        <v>女</v>
      </c>
      <c r="E210" s="7">
        <v>75</v>
      </c>
      <c r="F210" s="7">
        <v>86.14</v>
      </c>
      <c r="G210" s="7">
        <v>80.57</v>
      </c>
      <c r="H210" s="6">
        <v>2</v>
      </c>
    </row>
    <row r="211" s="1" customFormat="1" ht="22" customHeight="1" spans="1:8">
      <c r="A211" s="6" t="str">
        <f t="shared" si="47"/>
        <v>9173</v>
      </c>
      <c r="B211" s="6" t="str">
        <f>"91730831407"</f>
        <v>91730831407</v>
      </c>
      <c r="C211" s="6" t="str">
        <f>"胡硕"</f>
        <v>胡硕</v>
      </c>
      <c r="D211" s="6" t="str">
        <f t="shared" si="50"/>
        <v>男</v>
      </c>
      <c r="E211" s="7">
        <v>75.9</v>
      </c>
      <c r="F211" s="7">
        <v>83.52</v>
      </c>
      <c r="G211" s="7">
        <v>79.71</v>
      </c>
      <c r="H211" s="6">
        <v>3</v>
      </c>
    </row>
    <row r="212" s="1" customFormat="1" ht="22" customHeight="1" spans="1:8">
      <c r="A212" s="6" t="str">
        <f t="shared" si="47"/>
        <v>9174</v>
      </c>
      <c r="B212" s="6" t="str">
        <f>"91740931822"</f>
        <v>91740931822</v>
      </c>
      <c r="C212" s="6" t="str">
        <f>"党飞"</f>
        <v>党飞</v>
      </c>
      <c r="D212" s="6" t="str">
        <f t="shared" si="50"/>
        <v>男</v>
      </c>
      <c r="E212" s="7">
        <v>71.3</v>
      </c>
      <c r="F212" s="7">
        <v>83.98</v>
      </c>
      <c r="G212" s="7">
        <v>77.64</v>
      </c>
      <c r="H212" s="6">
        <v>1</v>
      </c>
    </row>
    <row r="213" s="1" customFormat="1" ht="22" customHeight="1" spans="1:8">
      <c r="A213" s="6" t="str">
        <f t="shared" si="47"/>
        <v>9174</v>
      </c>
      <c r="B213" s="6" t="str">
        <f>"91740932313"</f>
        <v>91740932313</v>
      </c>
      <c r="C213" s="6" t="str">
        <f>"马源"</f>
        <v>马源</v>
      </c>
      <c r="D213" s="6" t="str">
        <f>"女"</f>
        <v>女</v>
      </c>
      <c r="E213" s="7">
        <v>73</v>
      </c>
      <c r="F213" s="7">
        <v>79.96</v>
      </c>
      <c r="G213" s="7">
        <v>76.48</v>
      </c>
      <c r="H213" s="6">
        <v>2</v>
      </c>
    </row>
    <row r="214" s="1" customFormat="1" ht="22" customHeight="1" spans="1:8">
      <c r="A214" s="6" t="str">
        <f t="shared" si="47"/>
        <v>9174</v>
      </c>
      <c r="B214" s="6" t="str">
        <f>"91740931925"</f>
        <v>91740931925</v>
      </c>
      <c r="C214" s="6" t="str">
        <f>"薛佳杰"</f>
        <v>薛佳杰</v>
      </c>
      <c r="D214" s="6" t="str">
        <f>"男"</f>
        <v>男</v>
      </c>
      <c r="E214" s="7">
        <v>71.4</v>
      </c>
      <c r="F214" s="6" t="s">
        <v>9</v>
      </c>
      <c r="G214" s="6" t="s">
        <v>9</v>
      </c>
      <c r="H214" s="6" t="s">
        <v>9</v>
      </c>
    </row>
  </sheetData>
  <mergeCells count="1">
    <mergeCell ref="A1:H1"/>
  </mergeCells>
  <pageMargins left="0.751388888888889" right="0.357638888888889" top="0.409027777777778" bottom="0.60625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OS003</dc:creator>
  <cp:lastModifiedBy>lenovo</cp:lastModifiedBy>
  <dcterms:created xsi:type="dcterms:W3CDTF">2023-08-07T02:29:00Z</dcterms:created>
  <dcterms:modified xsi:type="dcterms:W3CDTF">2023-08-07T02:52:37Z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E8D340BFBACB492FA50F8AB7F15E694F_11</vt:lpwstr>
  </property>
  <property fmtid="{D5CDD505-2E9C-101B-9397-08002B2CF9AE}" pid="3" name="KSOProductBuildVer">
    <vt:lpwstr>2052-11.1.0.14309</vt:lpwstr>
  </property>
</Properties>
</file>