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" sheetId="1" r:id="rId1"/>
  </sheets>
  <definedNames>
    <definedName name="_xlnm._FilterDatabase" localSheetId="0" hidden="1">表!$A$2:$I$2</definedName>
  </definedNames>
  <calcPr calcId="144525"/>
</workbook>
</file>

<file path=xl/sharedStrings.xml><?xml version="1.0" encoding="utf-8"?>
<sst xmlns="http://schemas.openxmlformats.org/spreadsheetml/2006/main" count="1330" uniqueCount="15">
  <si>
    <t>三亚市发展和改革委员会下属事业单位2022年公开招聘工作人员资格初审合格并进入笔试人员名单</t>
  </si>
  <si>
    <t>序号</t>
  </si>
  <si>
    <t>报考号</t>
  </si>
  <si>
    <t>岗位代码</t>
  </si>
  <si>
    <t>招聘单位</t>
  </si>
  <si>
    <t>岗位名称</t>
  </si>
  <si>
    <t>姓名</t>
  </si>
  <si>
    <t>性别</t>
  </si>
  <si>
    <t>出生年月</t>
  </si>
  <si>
    <t>备注</t>
  </si>
  <si>
    <t>三亚市投资服务中心</t>
  </si>
  <si>
    <t>九级管理岗位</t>
  </si>
  <si>
    <t>三亚市价格监测中心</t>
  </si>
  <si>
    <t>专业技术岗位1</t>
  </si>
  <si>
    <t>专业技术岗位2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</si>
</sst>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2"/>
  <sheetViews>
    <sheetView tabSelected="1" workbookViewId="0">
      <selection activeCell="L7" sqref="L7"/>
    </sheetView>
  </sheetViews>
  <sheetFormatPr defaultColWidth="9" defaultRowHeight="13.5"/>
  <cols>
    <col min="2" max="2" width="26.625" customWidth="1"/>
    <col min="3" max="3" width="8.625" customWidth="1"/>
    <col min="4" max="4" width="19.25" customWidth="1"/>
    <col min="5" max="5" width="14" customWidth="1"/>
    <col min="6" max="6" width="10.625" customWidth="1"/>
    <col min="7" max="7" width="6.625" customWidth="1"/>
    <col min="8" max="8" width="12.375" customWidth="1"/>
    <col min="9" max="9" width="15.375" customWidth="1"/>
  </cols>
  <sheetData>
    <row r="1" s="1" customFormat="1" ht="48" customHeight="1" spans="1:9">
      <c r="A1" s="3" t="s">
        <v>0</v>
      </c>
      <c r="B1" s="4"/>
      <c r="C1" s="4"/>
      <c r="D1" s="4"/>
      <c r="E1" s="4"/>
      <c r="F1" s="4"/>
      <c r="G1" s="4"/>
      <c r="H1" s="4"/>
      <c r="I1" s="7"/>
    </row>
    <row r="2" s="2" customFormat="1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9">
      <c r="A3" s="6">
        <v>1</v>
      </c>
      <c r="B3" s="6" t="str">
        <f>"48712023013009031811995"</f>
        <v>48712023013009031811995</v>
      </c>
      <c r="C3" s="6" t="str">
        <f t="shared" ref="C3:C66" si="0">"0101"</f>
        <v>0101</v>
      </c>
      <c r="D3" s="6" t="s">
        <v>10</v>
      </c>
      <c r="E3" s="6" t="s">
        <v>11</v>
      </c>
      <c r="F3" s="6" t="str">
        <f>"林开宇"</f>
        <v>林开宇</v>
      </c>
      <c r="G3" s="6" t="str">
        <f t="shared" ref="G3:G7" si="1">"男"</f>
        <v>男</v>
      </c>
      <c r="H3" s="6" t="str">
        <f>"1995-04-07"</f>
        <v>1995-04-07</v>
      </c>
      <c r="I3" s="6"/>
    </row>
    <row r="4" s="1" customFormat="1" ht="30" customHeight="1" spans="1:9">
      <c r="A4" s="6">
        <v>2</v>
      </c>
      <c r="B4" s="6" t="str">
        <f>"48712023013009045011997"</f>
        <v>48712023013009045011997</v>
      </c>
      <c r="C4" s="6" t="str">
        <f t="shared" si="0"/>
        <v>0101</v>
      </c>
      <c r="D4" s="6" t="s">
        <v>10</v>
      </c>
      <c r="E4" s="6" t="s">
        <v>11</v>
      </c>
      <c r="F4" s="6" t="str">
        <f>"潘国辉"</f>
        <v>潘国辉</v>
      </c>
      <c r="G4" s="6" t="str">
        <f t="shared" si="1"/>
        <v>男</v>
      </c>
      <c r="H4" s="6" t="str">
        <f>"1993-04-01"</f>
        <v>1993-04-01</v>
      </c>
      <c r="I4" s="6"/>
    </row>
    <row r="5" s="1" customFormat="1" ht="30" customHeight="1" spans="1:9">
      <c r="A5" s="6">
        <v>3</v>
      </c>
      <c r="B5" s="6" t="str">
        <f>"48712023013009101612006"</f>
        <v>48712023013009101612006</v>
      </c>
      <c r="C5" s="6" t="str">
        <f t="shared" si="0"/>
        <v>0101</v>
      </c>
      <c r="D5" s="6" t="s">
        <v>10</v>
      </c>
      <c r="E5" s="6" t="s">
        <v>11</v>
      </c>
      <c r="F5" s="6" t="str">
        <f>"刘振京"</f>
        <v>刘振京</v>
      </c>
      <c r="G5" s="6" t="str">
        <f t="shared" si="1"/>
        <v>男</v>
      </c>
      <c r="H5" s="6" t="str">
        <f>"1999-10-19"</f>
        <v>1999-10-19</v>
      </c>
      <c r="I5" s="6"/>
    </row>
    <row r="6" s="1" customFormat="1" ht="30" customHeight="1" spans="1:9">
      <c r="A6" s="6">
        <v>4</v>
      </c>
      <c r="B6" s="6" t="str">
        <f>"48712023013009165912008"</f>
        <v>48712023013009165912008</v>
      </c>
      <c r="C6" s="6" t="str">
        <f t="shared" si="0"/>
        <v>0101</v>
      </c>
      <c r="D6" s="6" t="s">
        <v>10</v>
      </c>
      <c r="E6" s="6" t="s">
        <v>11</v>
      </c>
      <c r="F6" s="6" t="str">
        <f>"徐志强"</f>
        <v>徐志强</v>
      </c>
      <c r="G6" s="6" t="str">
        <f t="shared" si="1"/>
        <v>男</v>
      </c>
      <c r="H6" s="6" t="str">
        <f>"1989-08-16"</f>
        <v>1989-08-16</v>
      </c>
      <c r="I6" s="6"/>
    </row>
    <row r="7" s="1" customFormat="1" ht="30" customHeight="1" spans="1:9">
      <c r="A7" s="6">
        <v>5</v>
      </c>
      <c r="B7" s="6" t="str">
        <f>"48712023013009183212014"</f>
        <v>48712023013009183212014</v>
      </c>
      <c r="C7" s="6" t="str">
        <f t="shared" si="0"/>
        <v>0101</v>
      </c>
      <c r="D7" s="6" t="s">
        <v>10</v>
      </c>
      <c r="E7" s="6" t="s">
        <v>11</v>
      </c>
      <c r="F7" s="6" t="str">
        <f>"宁永意"</f>
        <v>宁永意</v>
      </c>
      <c r="G7" s="6" t="str">
        <f t="shared" si="1"/>
        <v>男</v>
      </c>
      <c r="H7" s="6" t="str">
        <f>"2000-10-08"</f>
        <v>2000-10-08</v>
      </c>
      <c r="I7" s="6"/>
    </row>
    <row r="8" s="1" customFormat="1" ht="30" customHeight="1" spans="1:9">
      <c r="A8" s="6">
        <v>6</v>
      </c>
      <c r="B8" s="6" t="str">
        <f>"48712023013009214012017"</f>
        <v>48712023013009214012017</v>
      </c>
      <c r="C8" s="6" t="str">
        <f t="shared" si="0"/>
        <v>0101</v>
      </c>
      <c r="D8" s="6" t="s">
        <v>10</v>
      </c>
      <c r="E8" s="6" t="s">
        <v>11</v>
      </c>
      <c r="F8" s="6" t="str">
        <f>"田锐"</f>
        <v>田锐</v>
      </c>
      <c r="G8" s="6" t="str">
        <f t="shared" ref="G8:G11" si="2">"女"</f>
        <v>女</v>
      </c>
      <c r="H8" s="6" t="str">
        <f>"1995-08-13"</f>
        <v>1995-08-13</v>
      </c>
      <c r="I8" s="6"/>
    </row>
    <row r="9" s="1" customFormat="1" ht="30" customHeight="1" spans="1:9">
      <c r="A9" s="6">
        <v>7</v>
      </c>
      <c r="B9" s="6" t="str">
        <f>"48712023013009252612020"</f>
        <v>48712023013009252612020</v>
      </c>
      <c r="C9" s="6" t="str">
        <f t="shared" si="0"/>
        <v>0101</v>
      </c>
      <c r="D9" s="6" t="s">
        <v>10</v>
      </c>
      <c r="E9" s="6" t="s">
        <v>11</v>
      </c>
      <c r="F9" s="6" t="str">
        <f>"林竹"</f>
        <v>林竹</v>
      </c>
      <c r="G9" s="6" t="str">
        <f t="shared" si="2"/>
        <v>女</v>
      </c>
      <c r="H9" s="6" t="str">
        <f>"1991-01-04"</f>
        <v>1991-01-04</v>
      </c>
      <c r="I9" s="6"/>
    </row>
    <row r="10" s="1" customFormat="1" ht="30" customHeight="1" spans="1:9">
      <c r="A10" s="6">
        <v>8</v>
      </c>
      <c r="B10" s="6" t="str">
        <f>"48712023013009265112022"</f>
        <v>48712023013009265112022</v>
      </c>
      <c r="C10" s="6" t="str">
        <f t="shared" si="0"/>
        <v>0101</v>
      </c>
      <c r="D10" s="6" t="s">
        <v>10</v>
      </c>
      <c r="E10" s="6" t="s">
        <v>11</v>
      </c>
      <c r="F10" s="6" t="str">
        <f>"王丽莹"</f>
        <v>王丽莹</v>
      </c>
      <c r="G10" s="6" t="str">
        <f t="shared" si="2"/>
        <v>女</v>
      </c>
      <c r="H10" s="6" t="str">
        <f>"1998-08-28"</f>
        <v>1998-08-28</v>
      </c>
      <c r="I10" s="6"/>
    </row>
    <row r="11" s="1" customFormat="1" ht="30" customHeight="1" spans="1:9">
      <c r="A11" s="6">
        <v>9</v>
      </c>
      <c r="B11" s="6" t="str">
        <f>"48712023013009345812033"</f>
        <v>48712023013009345812033</v>
      </c>
      <c r="C11" s="6" t="str">
        <f t="shared" si="0"/>
        <v>0101</v>
      </c>
      <c r="D11" s="6" t="s">
        <v>10</v>
      </c>
      <c r="E11" s="6" t="s">
        <v>11</v>
      </c>
      <c r="F11" s="6" t="str">
        <f>"罗伶"</f>
        <v>罗伶</v>
      </c>
      <c r="G11" s="6" t="str">
        <f t="shared" si="2"/>
        <v>女</v>
      </c>
      <c r="H11" s="6" t="str">
        <f>"1996-12-25"</f>
        <v>1996-12-25</v>
      </c>
      <c r="I11" s="6"/>
    </row>
    <row r="12" s="1" customFormat="1" ht="30" customHeight="1" spans="1:9">
      <c r="A12" s="6">
        <v>10</v>
      </c>
      <c r="B12" s="6" t="str">
        <f>"48712023013009353612035"</f>
        <v>48712023013009353612035</v>
      </c>
      <c r="C12" s="6" t="str">
        <f t="shared" si="0"/>
        <v>0101</v>
      </c>
      <c r="D12" s="6" t="s">
        <v>10</v>
      </c>
      <c r="E12" s="6" t="s">
        <v>11</v>
      </c>
      <c r="F12" s="6" t="str">
        <f>"卢定程"</f>
        <v>卢定程</v>
      </c>
      <c r="G12" s="6" t="str">
        <f>"男"</f>
        <v>男</v>
      </c>
      <c r="H12" s="6" t="str">
        <f>"1994-09-12"</f>
        <v>1994-09-12</v>
      </c>
      <c r="I12" s="6"/>
    </row>
    <row r="13" s="1" customFormat="1" ht="30" customHeight="1" spans="1:9">
      <c r="A13" s="6">
        <v>11</v>
      </c>
      <c r="B13" s="6" t="str">
        <f>"48712023013009361612037"</f>
        <v>48712023013009361612037</v>
      </c>
      <c r="C13" s="6" t="str">
        <f t="shared" si="0"/>
        <v>0101</v>
      </c>
      <c r="D13" s="6" t="s">
        <v>10</v>
      </c>
      <c r="E13" s="6" t="s">
        <v>11</v>
      </c>
      <c r="F13" s="6" t="str">
        <f>"林芳"</f>
        <v>林芳</v>
      </c>
      <c r="G13" s="6" t="str">
        <f t="shared" ref="G13:G16" si="3">"女"</f>
        <v>女</v>
      </c>
      <c r="H13" s="6" t="str">
        <f>"1993-08-25"</f>
        <v>1993-08-25</v>
      </c>
      <c r="I13" s="6"/>
    </row>
    <row r="14" s="1" customFormat="1" ht="30" customHeight="1" spans="1:9">
      <c r="A14" s="6">
        <v>12</v>
      </c>
      <c r="B14" s="6" t="str">
        <f>"48712023013009364112038"</f>
        <v>48712023013009364112038</v>
      </c>
      <c r="C14" s="6" t="str">
        <f t="shared" si="0"/>
        <v>0101</v>
      </c>
      <c r="D14" s="6" t="s">
        <v>10</v>
      </c>
      <c r="E14" s="6" t="s">
        <v>11</v>
      </c>
      <c r="F14" s="6" t="str">
        <f>"侯聪杰"</f>
        <v>侯聪杰</v>
      </c>
      <c r="G14" s="6" t="str">
        <f t="shared" si="3"/>
        <v>女</v>
      </c>
      <c r="H14" s="6" t="str">
        <f>"1987-10-30"</f>
        <v>1987-10-30</v>
      </c>
      <c r="I14" s="6"/>
    </row>
    <row r="15" s="1" customFormat="1" ht="30" customHeight="1" spans="1:9">
      <c r="A15" s="6">
        <v>13</v>
      </c>
      <c r="B15" s="6" t="str">
        <f>"48712023013009433812047"</f>
        <v>48712023013009433812047</v>
      </c>
      <c r="C15" s="6" t="str">
        <f t="shared" si="0"/>
        <v>0101</v>
      </c>
      <c r="D15" s="6" t="s">
        <v>10</v>
      </c>
      <c r="E15" s="6" t="s">
        <v>11</v>
      </c>
      <c r="F15" s="6" t="str">
        <f>"王妃"</f>
        <v>王妃</v>
      </c>
      <c r="G15" s="6" t="str">
        <f t="shared" si="3"/>
        <v>女</v>
      </c>
      <c r="H15" s="6" t="str">
        <f>"1998-11-20"</f>
        <v>1998-11-20</v>
      </c>
      <c r="I15" s="6"/>
    </row>
    <row r="16" s="1" customFormat="1" ht="30" customHeight="1" spans="1:9">
      <c r="A16" s="6">
        <v>14</v>
      </c>
      <c r="B16" s="6" t="str">
        <f>"48712023013009443912050"</f>
        <v>48712023013009443912050</v>
      </c>
      <c r="C16" s="6" t="str">
        <f t="shared" si="0"/>
        <v>0101</v>
      </c>
      <c r="D16" s="6" t="s">
        <v>10</v>
      </c>
      <c r="E16" s="6" t="s">
        <v>11</v>
      </c>
      <c r="F16" s="6" t="str">
        <f>"孙雨欣"</f>
        <v>孙雨欣</v>
      </c>
      <c r="G16" s="6" t="str">
        <f t="shared" si="3"/>
        <v>女</v>
      </c>
      <c r="H16" s="6" t="str">
        <f>"1998-06-14"</f>
        <v>1998-06-14</v>
      </c>
      <c r="I16" s="6"/>
    </row>
    <row r="17" s="1" customFormat="1" ht="30" customHeight="1" spans="1:9">
      <c r="A17" s="6">
        <v>15</v>
      </c>
      <c r="B17" s="6" t="str">
        <f>"48712023013009473712055"</f>
        <v>48712023013009473712055</v>
      </c>
      <c r="C17" s="6" t="str">
        <f t="shared" si="0"/>
        <v>0101</v>
      </c>
      <c r="D17" s="6" t="s">
        <v>10</v>
      </c>
      <c r="E17" s="6" t="s">
        <v>11</v>
      </c>
      <c r="F17" s="6" t="str">
        <f>"许智"</f>
        <v>许智</v>
      </c>
      <c r="G17" s="6" t="str">
        <f t="shared" ref="G17:G23" si="4">"男"</f>
        <v>男</v>
      </c>
      <c r="H17" s="6" t="str">
        <f>"1995-08-27"</f>
        <v>1995-08-27</v>
      </c>
      <c r="I17" s="6"/>
    </row>
    <row r="18" s="1" customFormat="1" ht="30" customHeight="1" spans="1:9">
      <c r="A18" s="6">
        <v>16</v>
      </c>
      <c r="B18" s="6" t="str">
        <f>"48712023013009561012066"</f>
        <v>48712023013009561012066</v>
      </c>
      <c r="C18" s="6" t="str">
        <f t="shared" si="0"/>
        <v>0101</v>
      </c>
      <c r="D18" s="6" t="s">
        <v>10</v>
      </c>
      <c r="E18" s="6" t="s">
        <v>11</v>
      </c>
      <c r="F18" s="6" t="str">
        <f>"刘晏辰"</f>
        <v>刘晏辰</v>
      </c>
      <c r="G18" s="6" t="str">
        <f t="shared" si="4"/>
        <v>男</v>
      </c>
      <c r="H18" s="6" t="str">
        <f>"1996-12-20"</f>
        <v>1996-12-20</v>
      </c>
      <c r="I18" s="6"/>
    </row>
    <row r="19" s="1" customFormat="1" ht="30" customHeight="1" spans="1:9">
      <c r="A19" s="6">
        <v>17</v>
      </c>
      <c r="B19" s="6" t="str">
        <f>"48712023013009571112069"</f>
        <v>48712023013009571112069</v>
      </c>
      <c r="C19" s="6" t="str">
        <f t="shared" si="0"/>
        <v>0101</v>
      </c>
      <c r="D19" s="6" t="s">
        <v>10</v>
      </c>
      <c r="E19" s="6" t="s">
        <v>11</v>
      </c>
      <c r="F19" s="6" t="str">
        <f>"张冉"</f>
        <v>张冉</v>
      </c>
      <c r="G19" s="6" t="str">
        <f t="shared" ref="G19:G21" si="5">"女"</f>
        <v>女</v>
      </c>
      <c r="H19" s="6" t="str">
        <f>"1995-06-07"</f>
        <v>1995-06-07</v>
      </c>
      <c r="I19" s="6"/>
    </row>
    <row r="20" s="1" customFormat="1" ht="30" customHeight="1" spans="1:9">
      <c r="A20" s="6">
        <v>18</v>
      </c>
      <c r="B20" s="6" t="str">
        <f>"48712023013009581712070"</f>
        <v>48712023013009581712070</v>
      </c>
      <c r="C20" s="6" t="str">
        <f t="shared" si="0"/>
        <v>0101</v>
      </c>
      <c r="D20" s="6" t="s">
        <v>10</v>
      </c>
      <c r="E20" s="6" t="s">
        <v>11</v>
      </c>
      <c r="F20" s="6" t="str">
        <f>"谢有思"</f>
        <v>谢有思</v>
      </c>
      <c r="G20" s="6" t="str">
        <f t="shared" si="5"/>
        <v>女</v>
      </c>
      <c r="H20" s="6" t="str">
        <f>"1995-07-25"</f>
        <v>1995-07-25</v>
      </c>
      <c r="I20" s="6"/>
    </row>
    <row r="21" s="1" customFormat="1" ht="30" customHeight="1" spans="1:9">
      <c r="A21" s="6">
        <v>19</v>
      </c>
      <c r="B21" s="6" t="str">
        <f>"48712023013009582312071"</f>
        <v>48712023013009582312071</v>
      </c>
      <c r="C21" s="6" t="str">
        <f t="shared" si="0"/>
        <v>0101</v>
      </c>
      <c r="D21" s="6" t="s">
        <v>10</v>
      </c>
      <c r="E21" s="6" t="s">
        <v>11</v>
      </c>
      <c r="F21" s="6" t="str">
        <f>"温婷婷"</f>
        <v>温婷婷</v>
      </c>
      <c r="G21" s="6" t="str">
        <f t="shared" si="5"/>
        <v>女</v>
      </c>
      <c r="H21" s="6" t="str">
        <f>"1987-09-16"</f>
        <v>1987-09-16</v>
      </c>
      <c r="I21" s="6"/>
    </row>
    <row r="22" s="1" customFormat="1" ht="30" customHeight="1" spans="1:9">
      <c r="A22" s="6">
        <v>20</v>
      </c>
      <c r="B22" s="6" t="str">
        <f>"48712023013010012012081"</f>
        <v>48712023013010012012081</v>
      </c>
      <c r="C22" s="6" t="str">
        <f t="shared" si="0"/>
        <v>0101</v>
      </c>
      <c r="D22" s="6" t="s">
        <v>10</v>
      </c>
      <c r="E22" s="6" t="s">
        <v>11</v>
      </c>
      <c r="F22" s="6" t="str">
        <f>"刘嘉宝"</f>
        <v>刘嘉宝</v>
      </c>
      <c r="G22" s="6" t="str">
        <f t="shared" si="4"/>
        <v>男</v>
      </c>
      <c r="H22" s="6" t="str">
        <f>"1995-10-15"</f>
        <v>1995-10-15</v>
      </c>
      <c r="I22" s="6"/>
    </row>
    <row r="23" s="1" customFormat="1" ht="30" customHeight="1" spans="1:9">
      <c r="A23" s="6">
        <v>21</v>
      </c>
      <c r="B23" s="6" t="str">
        <f>"48712023013010044512087"</f>
        <v>48712023013010044512087</v>
      </c>
      <c r="C23" s="6" t="str">
        <f t="shared" si="0"/>
        <v>0101</v>
      </c>
      <c r="D23" s="6" t="s">
        <v>10</v>
      </c>
      <c r="E23" s="6" t="s">
        <v>11</v>
      </c>
      <c r="F23" s="6" t="str">
        <f>"高炀"</f>
        <v>高炀</v>
      </c>
      <c r="G23" s="6" t="str">
        <f t="shared" si="4"/>
        <v>男</v>
      </c>
      <c r="H23" s="6" t="str">
        <f>"1992-09-05"</f>
        <v>1992-09-05</v>
      </c>
      <c r="I23" s="6"/>
    </row>
    <row r="24" s="1" customFormat="1" ht="30" customHeight="1" spans="1:9">
      <c r="A24" s="6">
        <v>22</v>
      </c>
      <c r="B24" s="6" t="str">
        <f>"48712023013010180212104"</f>
        <v>48712023013010180212104</v>
      </c>
      <c r="C24" s="6" t="str">
        <f t="shared" si="0"/>
        <v>0101</v>
      </c>
      <c r="D24" s="6" t="s">
        <v>10</v>
      </c>
      <c r="E24" s="6" t="s">
        <v>11</v>
      </c>
      <c r="F24" s="6" t="str">
        <f>"江莎莎"</f>
        <v>江莎莎</v>
      </c>
      <c r="G24" s="6" t="str">
        <f t="shared" ref="G24:G32" si="6">"女"</f>
        <v>女</v>
      </c>
      <c r="H24" s="6" t="str">
        <f>"1993-09-23"</f>
        <v>1993-09-23</v>
      </c>
      <c r="I24" s="6"/>
    </row>
    <row r="25" s="1" customFormat="1" ht="30" customHeight="1" spans="1:9">
      <c r="A25" s="6">
        <v>23</v>
      </c>
      <c r="B25" s="6" t="str">
        <f>"48712023013010365712133"</f>
        <v>48712023013010365712133</v>
      </c>
      <c r="C25" s="6" t="str">
        <f t="shared" si="0"/>
        <v>0101</v>
      </c>
      <c r="D25" s="6" t="s">
        <v>10</v>
      </c>
      <c r="E25" s="6" t="s">
        <v>11</v>
      </c>
      <c r="F25" s="6" t="str">
        <f>"陈纪斌"</f>
        <v>陈纪斌</v>
      </c>
      <c r="G25" s="6" t="str">
        <f t="shared" ref="G25:G28" si="7">"男"</f>
        <v>男</v>
      </c>
      <c r="H25" s="6" t="str">
        <f>"1995-09-10"</f>
        <v>1995-09-10</v>
      </c>
      <c r="I25" s="6"/>
    </row>
    <row r="26" s="1" customFormat="1" ht="30" customHeight="1" spans="1:9">
      <c r="A26" s="6">
        <v>24</v>
      </c>
      <c r="B26" s="6" t="str">
        <f>"48712023013010402112137"</f>
        <v>48712023013010402112137</v>
      </c>
      <c r="C26" s="6" t="str">
        <f t="shared" si="0"/>
        <v>0101</v>
      </c>
      <c r="D26" s="6" t="s">
        <v>10</v>
      </c>
      <c r="E26" s="6" t="s">
        <v>11</v>
      </c>
      <c r="F26" s="6" t="str">
        <f>"李献东"</f>
        <v>李献东</v>
      </c>
      <c r="G26" s="6" t="str">
        <f t="shared" si="7"/>
        <v>男</v>
      </c>
      <c r="H26" s="6" t="str">
        <f>"1994-06-12"</f>
        <v>1994-06-12</v>
      </c>
      <c r="I26" s="6"/>
    </row>
    <row r="27" s="1" customFormat="1" ht="30" customHeight="1" spans="1:9">
      <c r="A27" s="6">
        <v>25</v>
      </c>
      <c r="B27" s="6" t="str">
        <f>"48712023013010421912140"</f>
        <v>48712023013010421912140</v>
      </c>
      <c r="C27" s="6" t="str">
        <f t="shared" si="0"/>
        <v>0101</v>
      </c>
      <c r="D27" s="6" t="s">
        <v>10</v>
      </c>
      <c r="E27" s="6" t="s">
        <v>11</v>
      </c>
      <c r="F27" s="6" t="str">
        <f>"曾燕霜"</f>
        <v>曾燕霜</v>
      </c>
      <c r="G27" s="6" t="str">
        <f t="shared" si="6"/>
        <v>女</v>
      </c>
      <c r="H27" s="6" t="str">
        <f>"1992-11-20"</f>
        <v>1992-11-20</v>
      </c>
      <c r="I27" s="6"/>
    </row>
    <row r="28" s="1" customFormat="1" ht="30" customHeight="1" spans="1:9">
      <c r="A28" s="6">
        <v>26</v>
      </c>
      <c r="B28" s="6" t="str">
        <f>"48712023013010422612141"</f>
        <v>48712023013010422612141</v>
      </c>
      <c r="C28" s="6" t="str">
        <f t="shared" si="0"/>
        <v>0101</v>
      </c>
      <c r="D28" s="6" t="s">
        <v>10</v>
      </c>
      <c r="E28" s="6" t="s">
        <v>11</v>
      </c>
      <c r="F28" s="6" t="str">
        <f>"方杰"</f>
        <v>方杰</v>
      </c>
      <c r="G28" s="6" t="str">
        <f t="shared" si="7"/>
        <v>男</v>
      </c>
      <c r="H28" s="6" t="str">
        <f>"1997-12-24"</f>
        <v>1997-12-24</v>
      </c>
      <c r="I28" s="6"/>
    </row>
    <row r="29" s="1" customFormat="1" ht="30" customHeight="1" spans="1:9">
      <c r="A29" s="6">
        <v>27</v>
      </c>
      <c r="B29" s="6" t="str">
        <f>"48712023013010445212145"</f>
        <v>48712023013010445212145</v>
      </c>
      <c r="C29" s="6" t="str">
        <f t="shared" si="0"/>
        <v>0101</v>
      </c>
      <c r="D29" s="6" t="s">
        <v>10</v>
      </c>
      <c r="E29" s="6" t="s">
        <v>11</v>
      </c>
      <c r="F29" s="6" t="str">
        <f>"董菲菲"</f>
        <v>董菲菲</v>
      </c>
      <c r="G29" s="6" t="str">
        <f t="shared" si="6"/>
        <v>女</v>
      </c>
      <c r="H29" s="6" t="str">
        <f>"1994-09-19"</f>
        <v>1994-09-19</v>
      </c>
      <c r="I29" s="6"/>
    </row>
    <row r="30" s="1" customFormat="1" ht="30" customHeight="1" spans="1:9">
      <c r="A30" s="6">
        <v>28</v>
      </c>
      <c r="B30" s="6" t="str">
        <f>"48712023013010542012156"</f>
        <v>48712023013010542012156</v>
      </c>
      <c r="C30" s="6" t="str">
        <f t="shared" si="0"/>
        <v>0101</v>
      </c>
      <c r="D30" s="6" t="s">
        <v>10</v>
      </c>
      <c r="E30" s="6" t="s">
        <v>11</v>
      </c>
      <c r="F30" s="6" t="str">
        <f>"李正阳"</f>
        <v>李正阳</v>
      </c>
      <c r="G30" s="6" t="str">
        <f t="shared" si="6"/>
        <v>女</v>
      </c>
      <c r="H30" s="6" t="str">
        <f>"1992-07-26"</f>
        <v>1992-07-26</v>
      </c>
      <c r="I30" s="6"/>
    </row>
    <row r="31" s="1" customFormat="1" ht="30" customHeight="1" spans="1:9">
      <c r="A31" s="6">
        <v>29</v>
      </c>
      <c r="B31" s="6" t="str">
        <f>"48712023013010591612163"</f>
        <v>48712023013010591612163</v>
      </c>
      <c r="C31" s="6" t="str">
        <f t="shared" si="0"/>
        <v>0101</v>
      </c>
      <c r="D31" s="6" t="s">
        <v>10</v>
      </c>
      <c r="E31" s="6" t="s">
        <v>11</v>
      </c>
      <c r="F31" s="6" t="str">
        <f>"陈晓竹"</f>
        <v>陈晓竹</v>
      </c>
      <c r="G31" s="6" t="str">
        <f t="shared" si="6"/>
        <v>女</v>
      </c>
      <c r="H31" s="6" t="str">
        <f>"1989-12-15"</f>
        <v>1989-12-15</v>
      </c>
      <c r="I31" s="6"/>
    </row>
    <row r="32" s="1" customFormat="1" ht="30" customHeight="1" spans="1:9">
      <c r="A32" s="6">
        <v>30</v>
      </c>
      <c r="B32" s="6" t="str">
        <f>"48712023013011031512170"</f>
        <v>48712023013011031512170</v>
      </c>
      <c r="C32" s="6" t="str">
        <f t="shared" si="0"/>
        <v>0101</v>
      </c>
      <c r="D32" s="6" t="s">
        <v>10</v>
      </c>
      <c r="E32" s="6" t="s">
        <v>11</v>
      </c>
      <c r="F32" s="6" t="str">
        <f>"徐瑶"</f>
        <v>徐瑶</v>
      </c>
      <c r="G32" s="6" t="str">
        <f t="shared" si="6"/>
        <v>女</v>
      </c>
      <c r="H32" s="6" t="str">
        <f>"1999-01-14"</f>
        <v>1999-01-14</v>
      </c>
      <c r="I32" s="6"/>
    </row>
    <row r="33" s="1" customFormat="1" ht="30" customHeight="1" spans="1:9">
      <c r="A33" s="6">
        <v>31</v>
      </c>
      <c r="B33" s="6" t="str">
        <f>"48712023013011354712208"</f>
        <v>48712023013011354712208</v>
      </c>
      <c r="C33" s="6" t="str">
        <f t="shared" si="0"/>
        <v>0101</v>
      </c>
      <c r="D33" s="6" t="s">
        <v>10</v>
      </c>
      <c r="E33" s="6" t="s">
        <v>11</v>
      </c>
      <c r="F33" s="6" t="str">
        <f>"蒲光亮"</f>
        <v>蒲光亮</v>
      </c>
      <c r="G33" s="6" t="str">
        <f t="shared" ref="G33:G39" si="8">"男"</f>
        <v>男</v>
      </c>
      <c r="H33" s="6" t="str">
        <f>"1994-05-02"</f>
        <v>1994-05-02</v>
      </c>
      <c r="I33" s="6"/>
    </row>
    <row r="34" s="1" customFormat="1" ht="30" customHeight="1" spans="1:9">
      <c r="A34" s="6">
        <v>32</v>
      </c>
      <c r="B34" s="6" t="str">
        <f>"48712023013011370212211"</f>
        <v>48712023013011370212211</v>
      </c>
      <c r="C34" s="6" t="str">
        <f t="shared" si="0"/>
        <v>0101</v>
      </c>
      <c r="D34" s="6" t="s">
        <v>10</v>
      </c>
      <c r="E34" s="6" t="s">
        <v>11</v>
      </c>
      <c r="F34" s="6" t="str">
        <f>"虞佳菲"</f>
        <v>虞佳菲</v>
      </c>
      <c r="G34" s="6" t="str">
        <f>"女"</f>
        <v>女</v>
      </c>
      <c r="H34" s="6" t="str">
        <f>"1993-10-22"</f>
        <v>1993-10-22</v>
      </c>
      <c r="I34" s="6"/>
    </row>
    <row r="35" s="1" customFormat="1" ht="30" customHeight="1" spans="1:9">
      <c r="A35" s="6">
        <v>33</v>
      </c>
      <c r="B35" s="6" t="str">
        <f>"48712023013011570012232"</f>
        <v>48712023013011570012232</v>
      </c>
      <c r="C35" s="6" t="str">
        <f t="shared" si="0"/>
        <v>0101</v>
      </c>
      <c r="D35" s="6" t="s">
        <v>10</v>
      </c>
      <c r="E35" s="6" t="s">
        <v>11</v>
      </c>
      <c r="F35" s="6" t="str">
        <f>"谭定杰"</f>
        <v>谭定杰</v>
      </c>
      <c r="G35" s="6" t="str">
        <f t="shared" si="8"/>
        <v>男</v>
      </c>
      <c r="H35" s="6" t="str">
        <f>"1994-03-13"</f>
        <v>1994-03-13</v>
      </c>
      <c r="I35" s="6"/>
    </row>
    <row r="36" s="1" customFormat="1" ht="30" customHeight="1" spans="1:9">
      <c r="A36" s="6">
        <v>34</v>
      </c>
      <c r="B36" s="6" t="str">
        <f>"48712023013012153212252"</f>
        <v>48712023013012153212252</v>
      </c>
      <c r="C36" s="6" t="str">
        <f t="shared" si="0"/>
        <v>0101</v>
      </c>
      <c r="D36" s="6" t="s">
        <v>10</v>
      </c>
      <c r="E36" s="6" t="s">
        <v>11</v>
      </c>
      <c r="F36" s="6" t="str">
        <f>"杜振威"</f>
        <v>杜振威</v>
      </c>
      <c r="G36" s="6" t="str">
        <f t="shared" si="8"/>
        <v>男</v>
      </c>
      <c r="H36" s="6" t="str">
        <f>"2000-03-15"</f>
        <v>2000-03-15</v>
      </c>
      <c r="I36" s="6"/>
    </row>
    <row r="37" s="1" customFormat="1" ht="30" customHeight="1" spans="1:9">
      <c r="A37" s="6">
        <v>35</v>
      </c>
      <c r="B37" s="6" t="str">
        <f>"48712023013012363112267"</f>
        <v>48712023013012363112267</v>
      </c>
      <c r="C37" s="6" t="str">
        <f t="shared" si="0"/>
        <v>0101</v>
      </c>
      <c r="D37" s="6" t="s">
        <v>10</v>
      </c>
      <c r="E37" s="6" t="s">
        <v>11</v>
      </c>
      <c r="F37" s="6" t="str">
        <f>"卓先俊"</f>
        <v>卓先俊</v>
      </c>
      <c r="G37" s="6" t="str">
        <f t="shared" si="8"/>
        <v>男</v>
      </c>
      <c r="H37" s="6" t="str">
        <f>"1994-12-12"</f>
        <v>1994-12-12</v>
      </c>
      <c r="I37" s="6"/>
    </row>
    <row r="38" s="1" customFormat="1" ht="30" customHeight="1" spans="1:9">
      <c r="A38" s="6">
        <v>36</v>
      </c>
      <c r="B38" s="6" t="str">
        <f>"48712023013012390312269"</f>
        <v>48712023013012390312269</v>
      </c>
      <c r="C38" s="6" t="str">
        <f t="shared" si="0"/>
        <v>0101</v>
      </c>
      <c r="D38" s="6" t="s">
        <v>10</v>
      </c>
      <c r="E38" s="6" t="s">
        <v>11</v>
      </c>
      <c r="F38" s="6" t="str">
        <f>"符兴泰"</f>
        <v>符兴泰</v>
      </c>
      <c r="G38" s="6" t="str">
        <f t="shared" si="8"/>
        <v>男</v>
      </c>
      <c r="H38" s="6" t="str">
        <f>"1999-12-15"</f>
        <v>1999-12-15</v>
      </c>
      <c r="I38" s="6"/>
    </row>
    <row r="39" s="1" customFormat="1" ht="30" customHeight="1" spans="1:9">
      <c r="A39" s="6">
        <v>37</v>
      </c>
      <c r="B39" s="6" t="str">
        <f>"48712023013013143012296"</f>
        <v>48712023013013143012296</v>
      </c>
      <c r="C39" s="6" t="str">
        <f t="shared" si="0"/>
        <v>0101</v>
      </c>
      <c r="D39" s="6" t="s">
        <v>10</v>
      </c>
      <c r="E39" s="6" t="s">
        <v>11</v>
      </c>
      <c r="F39" s="6" t="str">
        <f>"关业成"</f>
        <v>关业成</v>
      </c>
      <c r="G39" s="6" t="str">
        <f t="shared" si="8"/>
        <v>男</v>
      </c>
      <c r="H39" s="6" t="str">
        <f>"1995-07-25"</f>
        <v>1995-07-25</v>
      </c>
      <c r="I39" s="6"/>
    </row>
    <row r="40" s="1" customFormat="1" ht="30" customHeight="1" spans="1:9">
      <c r="A40" s="6">
        <v>38</v>
      </c>
      <c r="B40" s="6" t="str">
        <f>"48712023013013190812303"</f>
        <v>48712023013013190812303</v>
      </c>
      <c r="C40" s="6" t="str">
        <f t="shared" si="0"/>
        <v>0101</v>
      </c>
      <c r="D40" s="6" t="s">
        <v>10</v>
      </c>
      <c r="E40" s="6" t="s">
        <v>11</v>
      </c>
      <c r="F40" s="6" t="str">
        <f>"林心忻"</f>
        <v>林心忻</v>
      </c>
      <c r="G40" s="6" t="str">
        <f t="shared" ref="G40:G44" si="9">"女"</f>
        <v>女</v>
      </c>
      <c r="H40" s="6" t="str">
        <f>"1996-10-05"</f>
        <v>1996-10-05</v>
      </c>
      <c r="I40" s="6"/>
    </row>
    <row r="41" s="1" customFormat="1" ht="30" customHeight="1" spans="1:9">
      <c r="A41" s="6">
        <v>39</v>
      </c>
      <c r="B41" s="6" t="str">
        <f>"48712023013013220312304"</f>
        <v>48712023013013220312304</v>
      </c>
      <c r="C41" s="6" t="str">
        <f t="shared" si="0"/>
        <v>0101</v>
      </c>
      <c r="D41" s="6" t="s">
        <v>10</v>
      </c>
      <c r="E41" s="6" t="s">
        <v>11</v>
      </c>
      <c r="F41" s="6" t="str">
        <f>"陈应小"</f>
        <v>陈应小</v>
      </c>
      <c r="G41" s="6" t="str">
        <f t="shared" si="9"/>
        <v>女</v>
      </c>
      <c r="H41" s="6" t="str">
        <f>"1998-08-02"</f>
        <v>1998-08-02</v>
      </c>
      <c r="I41" s="6"/>
    </row>
    <row r="42" s="1" customFormat="1" ht="30" customHeight="1" spans="1:9">
      <c r="A42" s="6">
        <v>40</v>
      </c>
      <c r="B42" s="6" t="str">
        <f>"48712023013013273912311"</f>
        <v>48712023013013273912311</v>
      </c>
      <c r="C42" s="6" t="str">
        <f t="shared" si="0"/>
        <v>0101</v>
      </c>
      <c r="D42" s="6" t="s">
        <v>10</v>
      </c>
      <c r="E42" s="6" t="s">
        <v>11</v>
      </c>
      <c r="F42" s="6" t="str">
        <f>"周微波"</f>
        <v>周微波</v>
      </c>
      <c r="G42" s="6" t="str">
        <f t="shared" ref="G42:G46" si="10">"男"</f>
        <v>男</v>
      </c>
      <c r="H42" s="6" t="str">
        <f>"1994-02-07"</f>
        <v>1994-02-07</v>
      </c>
      <c r="I42" s="6"/>
    </row>
    <row r="43" s="1" customFormat="1" ht="30" customHeight="1" spans="1:9">
      <c r="A43" s="6">
        <v>41</v>
      </c>
      <c r="B43" s="6" t="str">
        <f>"48712023013013320512316"</f>
        <v>48712023013013320512316</v>
      </c>
      <c r="C43" s="6" t="str">
        <f t="shared" si="0"/>
        <v>0101</v>
      </c>
      <c r="D43" s="6" t="s">
        <v>10</v>
      </c>
      <c r="E43" s="6" t="s">
        <v>11</v>
      </c>
      <c r="F43" s="6" t="str">
        <f>"张榆悦"</f>
        <v>张榆悦</v>
      </c>
      <c r="G43" s="6" t="str">
        <f t="shared" si="9"/>
        <v>女</v>
      </c>
      <c r="H43" s="6" t="str">
        <f>"1998-10-17"</f>
        <v>1998-10-17</v>
      </c>
      <c r="I43" s="6"/>
    </row>
    <row r="44" s="1" customFormat="1" ht="30" customHeight="1" spans="1:9">
      <c r="A44" s="6">
        <v>42</v>
      </c>
      <c r="B44" s="6" t="str">
        <f>"48712023013014053812344"</f>
        <v>48712023013014053812344</v>
      </c>
      <c r="C44" s="6" t="str">
        <f t="shared" si="0"/>
        <v>0101</v>
      </c>
      <c r="D44" s="6" t="s">
        <v>10</v>
      </c>
      <c r="E44" s="6" t="s">
        <v>11</v>
      </c>
      <c r="F44" s="6" t="str">
        <f>"韩鹭"</f>
        <v>韩鹭</v>
      </c>
      <c r="G44" s="6" t="str">
        <f t="shared" si="9"/>
        <v>女</v>
      </c>
      <c r="H44" s="6" t="str">
        <f>"1995-12-16"</f>
        <v>1995-12-16</v>
      </c>
      <c r="I44" s="6"/>
    </row>
    <row r="45" s="1" customFormat="1" ht="30" customHeight="1" spans="1:9">
      <c r="A45" s="6">
        <v>43</v>
      </c>
      <c r="B45" s="6" t="str">
        <f>"48712023013014104512353"</f>
        <v>48712023013014104512353</v>
      </c>
      <c r="C45" s="6" t="str">
        <f t="shared" si="0"/>
        <v>0101</v>
      </c>
      <c r="D45" s="6" t="s">
        <v>10</v>
      </c>
      <c r="E45" s="6" t="s">
        <v>11</v>
      </c>
      <c r="F45" s="6" t="str">
        <f>"赵建航"</f>
        <v>赵建航</v>
      </c>
      <c r="G45" s="6" t="str">
        <f t="shared" si="10"/>
        <v>男</v>
      </c>
      <c r="H45" s="6" t="str">
        <f>"1991-03-14"</f>
        <v>1991-03-14</v>
      </c>
      <c r="I45" s="6"/>
    </row>
    <row r="46" s="1" customFormat="1" ht="30" customHeight="1" spans="1:9">
      <c r="A46" s="6">
        <v>44</v>
      </c>
      <c r="B46" s="6" t="str">
        <f>"48712023013014350212377"</f>
        <v>48712023013014350212377</v>
      </c>
      <c r="C46" s="6" t="str">
        <f t="shared" si="0"/>
        <v>0101</v>
      </c>
      <c r="D46" s="6" t="s">
        <v>10</v>
      </c>
      <c r="E46" s="6" t="s">
        <v>11</v>
      </c>
      <c r="F46" s="6" t="str">
        <f>"苏会胜"</f>
        <v>苏会胜</v>
      </c>
      <c r="G46" s="6" t="str">
        <f t="shared" si="10"/>
        <v>男</v>
      </c>
      <c r="H46" s="6" t="str">
        <f>"1999-09-20"</f>
        <v>1999-09-20</v>
      </c>
      <c r="I46" s="6"/>
    </row>
    <row r="47" s="1" customFormat="1" ht="30" customHeight="1" spans="1:9">
      <c r="A47" s="6">
        <v>45</v>
      </c>
      <c r="B47" s="6" t="str">
        <f>"48712023013014400812388"</f>
        <v>48712023013014400812388</v>
      </c>
      <c r="C47" s="6" t="str">
        <f t="shared" si="0"/>
        <v>0101</v>
      </c>
      <c r="D47" s="6" t="s">
        <v>10</v>
      </c>
      <c r="E47" s="6" t="s">
        <v>11</v>
      </c>
      <c r="F47" s="6" t="str">
        <f>"王海蓉"</f>
        <v>王海蓉</v>
      </c>
      <c r="G47" s="6" t="str">
        <f>"女"</f>
        <v>女</v>
      </c>
      <c r="H47" s="6" t="str">
        <f>"1995-05-29"</f>
        <v>1995-05-29</v>
      </c>
      <c r="I47" s="6"/>
    </row>
    <row r="48" s="1" customFormat="1" ht="30" customHeight="1" spans="1:9">
      <c r="A48" s="6">
        <v>46</v>
      </c>
      <c r="B48" s="6" t="str">
        <f>"48712023013014504412399"</f>
        <v>48712023013014504412399</v>
      </c>
      <c r="C48" s="6" t="str">
        <f t="shared" si="0"/>
        <v>0101</v>
      </c>
      <c r="D48" s="6" t="s">
        <v>10</v>
      </c>
      <c r="E48" s="6" t="s">
        <v>11</v>
      </c>
      <c r="F48" s="6" t="str">
        <f>"王禄凯"</f>
        <v>王禄凯</v>
      </c>
      <c r="G48" s="6" t="str">
        <f t="shared" ref="G48:G51" si="11">"男"</f>
        <v>男</v>
      </c>
      <c r="H48" s="6" t="str">
        <f>"1999-11-11"</f>
        <v>1999-11-11</v>
      </c>
      <c r="I48" s="6"/>
    </row>
    <row r="49" s="1" customFormat="1" ht="30" customHeight="1" spans="1:9">
      <c r="A49" s="6">
        <v>47</v>
      </c>
      <c r="B49" s="6" t="str">
        <f>"48712023013014564612402"</f>
        <v>48712023013014564612402</v>
      </c>
      <c r="C49" s="6" t="str">
        <f t="shared" si="0"/>
        <v>0101</v>
      </c>
      <c r="D49" s="6" t="s">
        <v>10</v>
      </c>
      <c r="E49" s="6" t="s">
        <v>11</v>
      </c>
      <c r="F49" s="6" t="str">
        <f>"苏定民"</f>
        <v>苏定民</v>
      </c>
      <c r="G49" s="6" t="str">
        <f t="shared" si="11"/>
        <v>男</v>
      </c>
      <c r="H49" s="6" t="str">
        <f>"1996-04-10"</f>
        <v>1996-04-10</v>
      </c>
      <c r="I49" s="6"/>
    </row>
    <row r="50" s="1" customFormat="1" ht="30" customHeight="1" spans="1:9">
      <c r="A50" s="6">
        <v>48</v>
      </c>
      <c r="B50" s="6" t="str">
        <f>"48712023013015082112417"</f>
        <v>48712023013015082112417</v>
      </c>
      <c r="C50" s="6" t="str">
        <f t="shared" si="0"/>
        <v>0101</v>
      </c>
      <c r="D50" s="6" t="s">
        <v>10</v>
      </c>
      <c r="E50" s="6" t="s">
        <v>11</v>
      </c>
      <c r="F50" s="6" t="str">
        <f>"孙令众"</f>
        <v>孙令众</v>
      </c>
      <c r="G50" s="6" t="str">
        <f t="shared" si="11"/>
        <v>男</v>
      </c>
      <c r="H50" s="6" t="str">
        <f>"1993-06-06"</f>
        <v>1993-06-06</v>
      </c>
      <c r="I50" s="6"/>
    </row>
    <row r="51" s="1" customFormat="1" ht="30" customHeight="1" spans="1:9">
      <c r="A51" s="6">
        <v>49</v>
      </c>
      <c r="B51" s="6" t="str">
        <f>"48712023013015134912421"</f>
        <v>48712023013015134912421</v>
      </c>
      <c r="C51" s="6" t="str">
        <f t="shared" si="0"/>
        <v>0101</v>
      </c>
      <c r="D51" s="6" t="s">
        <v>10</v>
      </c>
      <c r="E51" s="6" t="s">
        <v>11</v>
      </c>
      <c r="F51" s="6" t="str">
        <f>"周兴宝"</f>
        <v>周兴宝</v>
      </c>
      <c r="G51" s="6" t="str">
        <f t="shared" si="11"/>
        <v>男</v>
      </c>
      <c r="H51" s="6" t="str">
        <f>"1997-10-22"</f>
        <v>1997-10-22</v>
      </c>
      <c r="I51" s="6"/>
    </row>
    <row r="52" s="1" customFormat="1" ht="30" customHeight="1" spans="1:9">
      <c r="A52" s="6">
        <v>50</v>
      </c>
      <c r="B52" s="6" t="str">
        <f>"48712023013015181712425"</f>
        <v>48712023013015181712425</v>
      </c>
      <c r="C52" s="6" t="str">
        <f t="shared" si="0"/>
        <v>0101</v>
      </c>
      <c r="D52" s="6" t="s">
        <v>10</v>
      </c>
      <c r="E52" s="6" t="s">
        <v>11</v>
      </c>
      <c r="F52" s="6" t="str">
        <f>"麦子亢"</f>
        <v>麦子亢</v>
      </c>
      <c r="G52" s="6" t="str">
        <f t="shared" ref="G52:G54" si="12">"女"</f>
        <v>女</v>
      </c>
      <c r="H52" s="6" t="str">
        <f>"1994-11-10"</f>
        <v>1994-11-10</v>
      </c>
      <c r="I52" s="6"/>
    </row>
    <row r="53" s="1" customFormat="1" ht="30" customHeight="1" spans="1:9">
      <c r="A53" s="6">
        <v>51</v>
      </c>
      <c r="B53" s="6" t="str">
        <f>"48712023013015265912438"</f>
        <v>48712023013015265912438</v>
      </c>
      <c r="C53" s="6" t="str">
        <f t="shared" si="0"/>
        <v>0101</v>
      </c>
      <c r="D53" s="6" t="s">
        <v>10</v>
      </c>
      <c r="E53" s="6" t="s">
        <v>11</v>
      </c>
      <c r="F53" s="6" t="str">
        <f>"郑灵"</f>
        <v>郑灵</v>
      </c>
      <c r="G53" s="6" t="str">
        <f t="shared" si="12"/>
        <v>女</v>
      </c>
      <c r="H53" s="6" t="str">
        <f>"1993-06-06"</f>
        <v>1993-06-06</v>
      </c>
      <c r="I53" s="6"/>
    </row>
    <row r="54" s="1" customFormat="1" ht="30" customHeight="1" spans="1:9">
      <c r="A54" s="6">
        <v>52</v>
      </c>
      <c r="B54" s="6" t="str">
        <f>"48712023013015372012449"</f>
        <v>48712023013015372012449</v>
      </c>
      <c r="C54" s="6" t="str">
        <f t="shared" si="0"/>
        <v>0101</v>
      </c>
      <c r="D54" s="6" t="s">
        <v>10</v>
      </c>
      <c r="E54" s="6" t="s">
        <v>11</v>
      </c>
      <c r="F54" s="6" t="str">
        <f>"闻瑞"</f>
        <v>闻瑞</v>
      </c>
      <c r="G54" s="6" t="str">
        <f t="shared" si="12"/>
        <v>女</v>
      </c>
      <c r="H54" s="6" t="str">
        <f>"1987-06-26"</f>
        <v>1987-06-26</v>
      </c>
      <c r="I54" s="6"/>
    </row>
    <row r="55" s="1" customFormat="1" ht="30" customHeight="1" spans="1:9">
      <c r="A55" s="6">
        <v>53</v>
      </c>
      <c r="B55" s="6" t="str">
        <f>"48712023013015433312458"</f>
        <v>48712023013015433312458</v>
      </c>
      <c r="C55" s="6" t="str">
        <f t="shared" si="0"/>
        <v>0101</v>
      </c>
      <c r="D55" s="6" t="s">
        <v>10</v>
      </c>
      <c r="E55" s="6" t="s">
        <v>11</v>
      </c>
      <c r="F55" s="6" t="str">
        <f>"吴宏健"</f>
        <v>吴宏健</v>
      </c>
      <c r="G55" s="6" t="str">
        <f t="shared" ref="G55:G57" si="13">"男"</f>
        <v>男</v>
      </c>
      <c r="H55" s="6" t="str">
        <f>"1997-10-24"</f>
        <v>1997-10-24</v>
      </c>
      <c r="I55" s="6"/>
    </row>
    <row r="56" s="1" customFormat="1" ht="30" customHeight="1" spans="1:9">
      <c r="A56" s="6">
        <v>54</v>
      </c>
      <c r="B56" s="6" t="str">
        <f>"48712023013015461012463"</f>
        <v>48712023013015461012463</v>
      </c>
      <c r="C56" s="6" t="str">
        <f t="shared" si="0"/>
        <v>0101</v>
      </c>
      <c r="D56" s="6" t="s">
        <v>10</v>
      </c>
      <c r="E56" s="6" t="s">
        <v>11</v>
      </c>
      <c r="F56" s="6" t="str">
        <f>"骆彦光"</f>
        <v>骆彦光</v>
      </c>
      <c r="G56" s="6" t="str">
        <f t="shared" si="13"/>
        <v>男</v>
      </c>
      <c r="H56" s="6" t="str">
        <f>"1994-01-03"</f>
        <v>1994-01-03</v>
      </c>
      <c r="I56" s="6"/>
    </row>
    <row r="57" s="1" customFormat="1" ht="30" customHeight="1" spans="1:9">
      <c r="A57" s="6">
        <v>55</v>
      </c>
      <c r="B57" s="6" t="str">
        <f>"48712023013016010412479"</f>
        <v>48712023013016010412479</v>
      </c>
      <c r="C57" s="6" t="str">
        <f t="shared" si="0"/>
        <v>0101</v>
      </c>
      <c r="D57" s="6" t="s">
        <v>10</v>
      </c>
      <c r="E57" s="6" t="s">
        <v>11</v>
      </c>
      <c r="F57" s="6" t="str">
        <f>"黄乃强"</f>
        <v>黄乃强</v>
      </c>
      <c r="G57" s="6" t="str">
        <f t="shared" si="13"/>
        <v>男</v>
      </c>
      <c r="H57" s="6" t="str">
        <f>"1999-02-11"</f>
        <v>1999-02-11</v>
      </c>
      <c r="I57" s="6"/>
    </row>
    <row r="58" s="1" customFormat="1" ht="30" customHeight="1" spans="1:9">
      <c r="A58" s="6">
        <v>56</v>
      </c>
      <c r="B58" s="6" t="str">
        <f>"48712023013016164612497"</f>
        <v>48712023013016164612497</v>
      </c>
      <c r="C58" s="6" t="str">
        <f t="shared" si="0"/>
        <v>0101</v>
      </c>
      <c r="D58" s="6" t="s">
        <v>10</v>
      </c>
      <c r="E58" s="6" t="s">
        <v>11</v>
      </c>
      <c r="F58" s="6" t="str">
        <f>"孙一博"</f>
        <v>孙一博</v>
      </c>
      <c r="G58" s="6" t="str">
        <f t="shared" ref="G58:G60" si="14">"女"</f>
        <v>女</v>
      </c>
      <c r="H58" s="6" t="str">
        <f>"1998-03-27"</f>
        <v>1998-03-27</v>
      </c>
      <c r="I58" s="6"/>
    </row>
    <row r="59" s="1" customFormat="1" ht="30" customHeight="1" spans="1:9">
      <c r="A59" s="6">
        <v>57</v>
      </c>
      <c r="B59" s="6" t="str">
        <f>"48712023013016313412516"</f>
        <v>48712023013016313412516</v>
      </c>
      <c r="C59" s="6" t="str">
        <f t="shared" si="0"/>
        <v>0101</v>
      </c>
      <c r="D59" s="6" t="s">
        <v>10</v>
      </c>
      <c r="E59" s="6" t="s">
        <v>11</v>
      </c>
      <c r="F59" s="6" t="str">
        <f>"孙记换"</f>
        <v>孙记换</v>
      </c>
      <c r="G59" s="6" t="str">
        <f t="shared" si="14"/>
        <v>女</v>
      </c>
      <c r="H59" s="6" t="str">
        <f>"1993-05-13"</f>
        <v>1993-05-13</v>
      </c>
      <c r="I59" s="6"/>
    </row>
    <row r="60" s="1" customFormat="1" ht="30" customHeight="1" spans="1:9">
      <c r="A60" s="6">
        <v>58</v>
      </c>
      <c r="B60" s="6" t="str">
        <f>"48712023013016321212517"</f>
        <v>48712023013016321212517</v>
      </c>
      <c r="C60" s="6" t="str">
        <f t="shared" si="0"/>
        <v>0101</v>
      </c>
      <c r="D60" s="6" t="s">
        <v>10</v>
      </c>
      <c r="E60" s="6" t="s">
        <v>11</v>
      </c>
      <c r="F60" s="6" t="str">
        <f>"卢兴冰"</f>
        <v>卢兴冰</v>
      </c>
      <c r="G60" s="6" t="str">
        <f t="shared" si="14"/>
        <v>女</v>
      </c>
      <c r="H60" s="6" t="str">
        <f>"2000-04-28"</f>
        <v>2000-04-28</v>
      </c>
      <c r="I60" s="6"/>
    </row>
    <row r="61" s="1" customFormat="1" ht="30" customHeight="1" spans="1:9">
      <c r="A61" s="6">
        <v>59</v>
      </c>
      <c r="B61" s="6" t="str">
        <f>"48712023013016510412536"</f>
        <v>48712023013016510412536</v>
      </c>
      <c r="C61" s="6" t="str">
        <f t="shared" si="0"/>
        <v>0101</v>
      </c>
      <c r="D61" s="6" t="s">
        <v>10</v>
      </c>
      <c r="E61" s="6" t="s">
        <v>11</v>
      </c>
      <c r="F61" s="6" t="str">
        <f>"吉祥宇"</f>
        <v>吉祥宇</v>
      </c>
      <c r="G61" s="6" t="str">
        <f t="shared" ref="G61:G65" si="15">"男"</f>
        <v>男</v>
      </c>
      <c r="H61" s="6" t="str">
        <f>"1995-11-08"</f>
        <v>1995-11-08</v>
      </c>
      <c r="I61" s="6"/>
    </row>
    <row r="62" s="1" customFormat="1" ht="30" customHeight="1" spans="1:9">
      <c r="A62" s="6">
        <v>60</v>
      </c>
      <c r="B62" s="6" t="str">
        <f>"48712023013017065212555"</f>
        <v>48712023013017065212555</v>
      </c>
      <c r="C62" s="6" t="str">
        <f t="shared" si="0"/>
        <v>0101</v>
      </c>
      <c r="D62" s="6" t="s">
        <v>10</v>
      </c>
      <c r="E62" s="6" t="s">
        <v>11</v>
      </c>
      <c r="F62" s="6" t="str">
        <f>"陈国蔚"</f>
        <v>陈国蔚</v>
      </c>
      <c r="G62" s="6" t="str">
        <f t="shared" ref="G62:G69" si="16">"女"</f>
        <v>女</v>
      </c>
      <c r="H62" s="6" t="str">
        <f>"1996-08-15"</f>
        <v>1996-08-15</v>
      </c>
      <c r="I62" s="6"/>
    </row>
    <row r="63" s="1" customFormat="1" ht="30" customHeight="1" spans="1:9">
      <c r="A63" s="6">
        <v>61</v>
      </c>
      <c r="B63" s="6" t="str">
        <f>"48712023013017091312558"</f>
        <v>48712023013017091312558</v>
      </c>
      <c r="C63" s="6" t="str">
        <f t="shared" si="0"/>
        <v>0101</v>
      </c>
      <c r="D63" s="6" t="s">
        <v>10</v>
      </c>
      <c r="E63" s="6" t="s">
        <v>11</v>
      </c>
      <c r="F63" s="6" t="str">
        <f>"曾德峰"</f>
        <v>曾德峰</v>
      </c>
      <c r="G63" s="6" t="str">
        <f t="shared" si="15"/>
        <v>男</v>
      </c>
      <c r="H63" s="6" t="str">
        <f>"1995-05-05"</f>
        <v>1995-05-05</v>
      </c>
      <c r="I63" s="6"/>
    </row>
    <row r="64" s="1" customFormat="1" ht="30" customHeight="1" spans="1:9">
      <c r="A64" s="6">
        <v>62</v>
      </c>
      <c r="B64" s="6" t="str">
        <f>"48712023013017155812564"</f>
        <v>48712023013017155812564</v>
      </c>
      <c r="C64" s="6" t="str">
        <f t="shared" si="0"/>
        <v>0101</v>
      </c>
      <c r="D64" s="6" t="s">
        <v>10</v>
      </c>
      <c r="E64" s="6" t="s">
        <v>11</v>
      </c>
      <c r="F64" s="6" t="str">
        <f>"文武双"</f>
        <v>文武双</v>
      </c>
      <c r="G64" s="6" t="str">
        <f t="shared" si="15"/>
        <v>男</v>
      </c>
      <c r="H64" s="6" t="str">
        <f>"1994-06-13"</f>
        <v>1994-06-13</v>
      </c>
      <c r="I64" s="6"/>
    </row>
    <row r="65" s="1" customFormat="1" ht="30" customHeight="1" spans="1:9">
      <c r="A65" s="6">
        <v>63</v>
      </c>
      <c r="B65" s="6" t="str">
        <f>"48712023013017184612568"</f>
        <v>48712023013017184612568</v>
      </c>
      <c r="C65" s="6" t="str">
        <f t="shared" si="0"/>
        <v>0101</v>
      </c>
      <c r="D65" s="6" t="s">
        <v>10</v>
      </c>
      <c r="E65" s="6" t="s">
        <v>11</v>
      </c>
      <c r="F65" s="6" t="str">
        <f>"陈昱"</f>
        <v>陈昱</v>
      </c>
      <c r="G65" s="6" t="str">
        <f t="shared" si="15"/>
        <v>男</v>
      </c>
      <c r="H65" s="6" t="str">
        <f>"1989-08-24"</f>
        <v>1989-08-24</v>
      </c>
      <c r="I65" s="6"/>
    </row>
    <row r="66" s="1" customFormat="1" ht="30" customHeight="1" spans="1:9">
      <c r="A66" s="6">
        <v>64</v>
      </c>
      <c r="B66" s="6" t="str">
        <f>"48712023013017250112577"</f>
        <v>48712023013017250112577</v>
      </c>
      <c r="C66" s="6" t="str">
        <f t="shared" si="0"/>
        <v>0101</v>
      </c>
      <c r="D66" s="6" t="s">
        <v>10</v>
      </c>
      <c r="E66" s="6" t="s">
        <v>11</v>
      </c>
      <c r="F66" s="6" t="str">
        <f>"陈卓凡"</f>
        <v>陈卓凡</v>
      </c>
      <c r="G66" s="6" t="str">
        <f t="shared" si="16"/>
        <v>女</v>
      </c>
      <c r="H66" s="6" t="str">
        <f>"2000-10-15"</f>
        <v>2000-10-15</v>
      </c>
      <c r="I66" s="6"/>
    </row>
    <row r="67" s="1" customFormat="1" ht="30" customHeight="1" spans="1:9">
      <c r="A67" s="6">
        <v>65</v>
      </c>
      <c r="B67" s="6" t="str">
        <f>"48712023013017274212580"</f>
        <v>48712023013017274212580</v>
      </c>
      <c r="C67" s="6" t="str">
        <f t="shared" ref="C67:C130" si="17">"0101"</f>
        <v>0101</v>
      </c>
      <c r="D67" s="6" t="s">
        <v>10</v>
      </c>
      <c r="E67" s="6" t="s">
        <v>11</v>
      </c>
      <c r="F67" s="6" t="str">
        <f>"陈梦怡"</f>
        <v>陈梦怡</v>
      </c>
      <c r="G67" s="6" t="str">
        <f t="shared" si="16"/>
        <v>女</v>
      </c>
      <c r="H67" s="6" t="str">
        <f>"1991-10-29"</f>
        <v>1991-10-29</v>
      </c>
      <c r="I67" s="6"/>
    </row>
    <row r="68" s="1" customFormat="1" ht="30" customHeight="1" spans="1:9">
      <c r="A68" s="6">
        <v>66</v>
      </c>
      <c r="B68" s="6" t="str">
        <f>"48712023013017343812587"</f>
        <v>48712023013017343812587</v>
      </c>
      <c r="C68" s="6" t="str">
        <f t="shared" si="17"/>
        <v>0101</v>
      </c>
      <c r="D68" s="6" t="s">
        <v>10</v>
      </c>
      <c r="E68" s="6" t="s">
        <v>11</v>
      </c>
      <c r="F68" s="6" t="str">
        <f>"王雅玲"</f>
        <v>王雅玲</v>
      </c>
      <c r="G68" s="6" t="str">
        <f t="shared" si="16"/>
        <v>女</v>
      </c>
      <c r="H68" s="6" t="str">
        <f>"1998-04-24"</f>
        <v>1998-04-24</v>
      </c>
      <c r="I68" s="6"/>
    </row>
    <row r="69" s="1" customFormat="1" ht="30" customHeight="1" spans="1:9">
      <c r="A69" s="6">
        <v>67</v>
      </c>
      <c r="B69" s="6" t="str">
        <f>"48712023013017414412596"</f>
        <v>48712023013017414412596</v>
      </c>
      <c r="C69" s="6" t="str">
        <f t="shared" si="17"/>
        <v>0101</v>
      </c>
      <c r="D69" s="6" t="s">
        <v>10</v>
      </c>
      <c r="E69" s="6" t="s">
        <v>11</v>
      </c>
      <c r="F69" s="6" t="str">
        <f>"曾其娴"</f>
        <v>曾其娴</v>
      </c>
      <c r="G69" s="6" t="str">
        <f t="shared" si="16"/>
        <v>女</v>
      </c>
      <c r="H69" s="6" t="str">
        <f>"1997-10-17"</f>
        <v>1997-10-17</v>
      </c>
      <c r="I69" s="6"/>
    </row>
    <row r="70" s="1" customFormat="1" ht="30" customHeight="1" spans="1:9">
      <c r="A70" s="6">
        <v>68</v>
      </c>
      <c r="B70" s="6" t="str">
        <f>"48712023013018222312628"</f>
        <v>48712023013018222312628</v>
      </c>
      <c r="C70" s="6" t="str">
        <f t="shared" si="17"/>
        <v>0101</v>
      </c>
      <c r="D70" s="6" t="s">
        <v>10</v>
      </c>
      <c r="E70" s="6" t="s">
        <v>11</v>
      </c>
      <c r="F70" s="6" t="str">
        <f>"曾繁记"</f>
        <v>曾繁记</v>
      </c>
      <c r="G70" s="6" t="str">
        <f t="shared" ref="G70:G73" si="18">"男"</f>
        <v>男</v>
      </c>
      <c r="H70" s="6" t="str">
        <f>"1996-04-02"</f>
        <v>1996-04-02</v>
      </c>
      <c r="I70" s="6"/>
    </row>
    <row r="71" s="1" customFormat="1" ht="30" customHeight="1" spans="1:9">
      <c r="A71" s="6">
        <v>69</v>
      </c>
      <c r="B71" s="6" t="str">
        <f>"48712023013018284612633"</f>
        <v>48712023013018284612633</v>
      </c>
      <c r="C71" s="6" t="str">
        <f t="shared" si="17"/>
        <v>0101</v>
      </c>
      <c r="D71" s="6" t="s">
        <v>10</v>
      </c>
      <c r="E71" s="6" t="s">
        <v>11</v>
      </c>
      <c r="F71" s="6" t="str">
        <f>"陈受宣"</f>
        <v>陈受宣</v>
      </c>
      <c r="G71" s="6" t="str">
        <f t="shared" si="18"/>
        <v>男</v>
      </c>
      <c r="H71" s="6" t="str">
        <f>"1990-12-13"</f>
        <v>1990-12-13</v>
      </c>
      <c r="I71" s="6"/>
    </row>
    <row r="72" s="1" customFormat="1" ht="30" customHeight="1" spans="1:9">
      <c r="A72" s="6">
        <v>70</v>
      </c>
      <c r="B72" s="6" t="str">
        <f>"48712023013018365812640"</f>
        <v>48712023013018365812640</v>
      </c>
      <c r="C72" s="6" t="str">
        <f t="shared" si="17"/>
        <v>0101</v>
      </c>
      <c r="D72" s="6" t="s">
        <v>10</v>
      </c>
      <c r="E72" s="6" t="s">
        <v>11</v>
      </c>
      <c r="F72" s="6" t="str">
        <f>"林可儿"</f>
        <v>林可儿</v>
      </c>
      <c r="G72" s="6" t="str">
        <f t="shared" ref="G72:G75" si="19">"女"</f>
        <v>女</v>
      </c>
      <c r="H72" s="6" t="str">
        <f>"1996-08-23"</f>
        <v>1996-08-23</v>
      </c>
      <c r="I72" s="6"/>
    </row>
    <row r="73" s="1" customFormat="1" ht="30" customHeight="1" spans="1:9">
      <c r="A73" s="6">
        <v>71</v>
      </c>
      <c r="B73" s="6" t="str">
        <f>"48712023013018473712650"</f>
        <v>48712023013018473712650</v>
      </c>
      <c r="C73" s="6" t="str">
        <f t="shared" si="17"/>
        <v>0101</v>
      </c>
      <c r="D73" s="6" t="s">
        <v>10</v>
      </c>
      <c r="E73" s="6" t="s">
        <v>11</v>
      </c>
      <c r="F73" s="6" t="str">
        <f>"梁竹斌"</f>
        <v>梁竹斌</v>
      </c>
      <c r="G73" s="6" t="str">
        <f t="shared" si="18"/>
        <v>男</v>
      </c>
      <c r="H73" s="6" t="str">
        <f>"1991-06-01"</f>
        <v>1991-06-01</v>
      </c>
      <c r="I73" s="6"/>
    </row>
    <row r="74" s="1" customFormat="1" ht="30" customHeight="1" spans="1:9">
      <c r="A74" s="6">
        <v>72</v>
      </c>
      <c r="B74" s="6" t="str">
        <f>"48712023013018554412655"</f>
        <v>48712023013018554412655</v>
      </c>
      <c r="C74" s="6" t="str">
        <f t="shared" si="17"/>
        <v>0101</v>
      </c>
      <c r="D74" s="6" t="s">
        <v>10</v>
      </c>
      <c r="E74" s="6" t="s">
        <v>11</v>
      </c>
      <c r="F74" s="6" t="str">
        <f>"林诗珏"</f>
        <v>林诗珏</v>
      </c>
      <c r="G74" s="6" t="str">
        <f t="shared" si="19"/>
        <v>女</v>
      </c>
      <c r="H74" s="6" t="str">
        <f>"1995-04-04"</f>
        <v>1995-04-04</v>
      </c>
      <c r="I74" s="6"/>
    </row>
    <row r="75" s="1" customFormat="1" ht="30" customHeight="1" spans="1:9">
      <c r="A75" s="6">
        <v>73</v>
      </c>
      <c r="B75" s="6" t="str">
        <f>"48712023013018560112658"</f>
        <v>48712023013018560112658</v>
      </c>
      <c r="C75" s="6" t="str">
        <f t="shared" si="17"/>
        <v>0101</v>
      </c>
      <c r="D75" s="6" t="s">
        <v>10</v>
      </c>
      <c r="E75" s="6" t="s">
        <v>11</v>
      </c>
      <c r="F75" s="6" t="str">
        <f>"曹泽文"</f>
        <v>曹泽文</v>
      </c>
      <c r="G75" s="6" t="str">
        <f t="shared" si="19"/>
        <v>女</v>
      </c>
      <c r="H75" s="6" t="str">
        <f>"1996-10-13"</f>
        <v>1996-10-13</v>
      </c>
      <c r="I75" s="6"/>
    </row>
    <row r="76" s="1" customFormat="1" ht="30" customHeight="1" spans="1:9">
      <c r="A76" s="6">
        <v>74</v>
      </c>
      <c r="B76" s="6" t="str">
        <f>"48712023013019083612673"</f>
        <v>48712023013019083612673</v>
      </c>
      <c r="C76" s="6" t="str">
        <f t="shared" si="17"/>
        <v>0101</v>
      </c>
      <c r="D76" s="6" t="s">
        <v>10</v>
      </c>
      <c r="E76" s="6" t="s">
        <v>11</v>
      </c>
      <c r="F76" s="6" t="str">
        <f>"陈泰源"</f>
        <v>陈泰源</v>
      </c>
      <c r="G76" s="6" t="str">
        <f t="shared" ref="G76:G78" si="20">"男"</f>
        <v>男</v>
      </c>
      <c r="H76" s="6" t="str">
        <f>"1994-02-12"</f>
        <v>1994-02-12</v>
      </c>
      <c r="I76" s="6"/>
    </row>
    <row r="77" s="1" customFormat="1" ht="30" customHeight="1" spans="1:9">
      <c r="A77" s="6">
        <v>75</v>
      </c>
      <c r="B77" s="6" t="str">
        <f>"48712023013020233112757"</f>
        <v>48712023013020233112757</v>
      </c>
      <c r="C77" s="6" t="str">
        <f t="shared" si="17"/>
        <v>0101</v>
      </c>
      <c r="D77" s="6" t="s">
        <v>10</v>
      </c>
      <c r="E77" s="6" t="s">
        <v>11</v>
      </c>
      <c r="F77" s="6" t="str">
        <f>"朱厚警"</f>
        <v>朱厚警</v>
      </c>
      <c r="G77" s="6" t="str">
        <f t="shared" si="20"/>
        <v>男</v>
      </c>
      <c r="H77" s="6" t="str">
        <f>"1989-09-12"</f>
        <v>1989-09-12</v>
      </c>
      <c r="I77" s="6"/>
    </row>
    <row r="78" s="1" customFormat="1" ht="30" customHeight="1" spans="1:9">
      <c r="A78" s="6">
        <v>76</v>
      </c>
      <c r="B78" s="6" t="str">
        <f>"48712023013020465012783"</f>
        <v>48712023013020465012783</v>
      </c>
      <c r="C78" s="6" t="str">
        <f t="shared" si="17"/>
        <v>0101</v>
      </c>
      <c r="D78" s="6" t="s">
        <v>10</v>
      </c>
      <c r="E78" s="6" t="s">
        <v>11</v>
      </c>
      <c r="F78" s="6" t="str">
        <f>"李尤夏"</f>
        <v>李尤夏</v>
      </c>
      <c r="G78" s="6" t="str">
        <f t="shared" si="20"/>
        <v>男</v>
      </c>
      <c r="H78" s="6" t="str">
        <f>"1994-02-15"</f>
        <v>1994-02-15</v>
      </c>
      <c r="I78" s="6"/>
    </row>
    <row r="79" s="1" customFormat="1" ht="30" customHeight="1" spans="1:9">
      <c r="A79" s="6">
        <v>77</v>
      </c>
      <c r="B79" s="6" t="str">
        <f>"48712023013020505912788"</f>
        <v>48712023013020505912788</v>
      </c>
      <c r="C79" s="6" t="str">
        <f t="shared" si="17"/>
        <v>0101</v>
      </c>
      <c r="D79" s="6" t="s">
        <v>10</v>
      </c>
      <c r="E79" s="6" t="s">
        <v>11</v>
      </c>
      <c r="F79" s="6" t="str">
        <f>"蔡文娟"</f>
        <v>蔡文娟</v>
      </c>
      <c r="G79" s="6" t="str">
        <f t="shared" ref="G79:G83" si="21">"女"</f>
        <v>女</v>
      </c>
      <c r="H79" s="6" t="str">
        <f>"1990-05-16"</f>
        <v>1990-05-16</v>
      </c>
      <c r="I79" s="6"/>
    </row>
    <row r="80" s="1" customFormat="1" ht="30" customHeight="1" spans="1:9">
      <c r="A80" s="6">
        <v>78</v>
      </c>
      <c r="B80" s="6" t="str">
        <f>"48712023013020572612793"</f>
        <v>48712023013020572612793</v>
      </c>
      <c r="C80" s="6" t="str">
        <f t="shared" si="17"/>
        <v>0101</v>
      </c>
      <c r="D80" s="6" t="s">
        <v>10</v>
      </c>
      <c r="E80" s="6" t="s">
        <v>11</v>
      </c>
      <c r="F80" s="6" t="str">
        <f>"陈鹏"</f>
        <v>陈鹏</v>
      </c>
      <c r="G80" s="6" t="str">
        <f t="shared" ref="G80:G84" si="22">"男"</f>
        <v>男</v>
      </c>
      <c r="H80" s="6" t="str">
        <f>"1990-10-09"</f>
        <v>1990-10-09</v>
      </c>
      <c r="I80" s="6"/>
    </row>
    <row r="81" s="1" customFormat="1" ht="30" customHeight="1" spans="1:9">
      <c r="A81" s="6">
        <v>79</v>
      </c>
      <c r="B81" s="6" t="str">
        <f>"48712023013021231912816"</f>
        <v>48712023013021231912816</v>
      </c>
      <c r="C81" s="6" t="str">
        <f t="shared" si="17"/>
        <v>0101</v>
      </c>
      <c r="D81" s="6" t="s">
        <v>10</v>
      </c>
      <c r="E81" s="6" t="s">
        <v>11</v>
      </c>
      <c r="F81" s="6" t="str">
        <f>"陈玉成"</f>
        <v>陈玉成</v>
      </c>
      <c r="G81" s="6" t="str">
        <f t="shared" si="21"/>
        <v>女</v>
      </c>
      <c r="H81" s="6" t="str">
        <f>"1997-04-18"</f>
        <v>1997-04-18</v>
      </c>
      <c r="I81" s="6"/>
    </row>
    <row r="82" s="1" customFormat="1" ht="30" customHeight="1" spans="1:9">
      <c r="A82" s="6">
        <v>80</v>
      </c>
      <c r="B82" s="6" t="str">
        <f>"48712023013021423212836"</f>
        <v>48712023013021423212836</v>
      </c>
      <c r="C82" s="6" t="str">
        <f t="shared" si="17"/>
        <v>0101</v>
      </c>
      <c r="D82" s="6" t="s">
        <v>10</v>
      </c>
      <c r="E82" s="6" t="s">
        <v>11</v>
      </c>
      <c r="F82" s="6" t="str">
        <f>"韩旭"</f>
        <v>韩旭</v>
      </c>
      <c r="G82" s="6" t="str">
        <f t="shared" si="22"/>
        <v>男</v>
      </c>
      <c r="H82" s="6" t="str">
        <f>"1997-07-18"</f>
        <v>1997-07-18</v>
      </c>
      <c r="I82" s="6"/>
    </row>
    <row r="83" s="1" customFormat="1" ht="30" customHeight="1" spans="1:9">
      <c r="A83" s="6">
        <v>81</v>
      </c>
      <c r="B83" s="6" t="str">
        <f>"48712023013022122912870"</f>
        <v>48712023013022122912870</v>
      </c>
      <c r="C83" s="6" t="str">
        <f t="shared" si="17"/>
        <v>0101</v>
      </c>
      <c r="D83" s="6" t="s">
        <v>10</v>
      </c>
      <c r="E83" s="6" t="s">
        <v>11</v>
      </c>
      <c r="F83" s="6" t="str">
        <f>"龙美琴"</f>
        <v>龙美琴</v>
      </c>
      <c r="G83" s="6" t="str">
        <f t="shared" si="21"/>
        <v>女</v>
      </c>
      <c r="H83" s="6" t="str">
        <f>"1993-10-01"</f>
        <v>1993-10-01</v>
      </c>
      <c r="I83" s="6"/>
    </row>
    <row r="84" s="1" customFormat="1" ht="30" customHeight="1" spans="1:9">
      <c r="A84" s="6">
        <v>82</v>
      </c>
      <c r="B84" s="6" t="str">
        <f>"48712023013022163912876"</f>
        <v>48712023013022163912876</v>
      </c>
      <c r="C84" s="6" t="str">
        <f t="shared" si="17"/>
        <v>0101</v>
      </c>
      <c r="D84" s="6" t="s">
        <v>10</v>
      </c>
      <c r="E84" s="6" t="s">
        <v>11</v>
      </c>
      <c r="F84" s="6" t="str">
        <f>"黎祺昕"</f>
        <v>黎祺昕</v>
      </c>
      <c r="G84" s="6" t="str">
        <f t="shared" si="22"/>
        <v>男</v>
      </c>
      <c r="H84" s="6" t="str">
        <f>"1997-02-09"</f>
        <v>1997-02-09</v>
      </c>
      <c r="I84" s="6"/>
    </row>
    <row r="85" s="1" customFormat="1" ht="30" customHeight="1" spans="1:9">
      <c r="A85" s="6">
        <v>83</v>
      </c>
      <c r="B85" s="6" t="str">
        <f>"48712023013022192612878"</f>
        <v>48712023013022192612878</v>
      </c>
      <c r="C85" s="6" t="str">
        <f t="shared" si="17"/>
        <v>0101</v>
      </c>
      <c r="D85" s="6" t="s">
        <v>10</v>
      </c>
      <c r="E85" s="6" t="s">
        <v>11</v>
      </c>
      <c r="F85" s="6" t="str">
        <f>"林云蕾"</f>
        <v>林云蕾</v>
      </c>
      <c r="G85" s="6" t="str">
        <f t="shared" ref="G85:G88" si="23">"女"</f>
        <v>女</v>
      </c>
      <c r="H85" s="6" t="str">
        <f>"1999-08-09"</f>
        <v>1999-08-09</v>
      </c>
      <c r="I85" s="6"/>
    </row>
    <row r="86" s="1" customFormat="1" ht="30" customHeight="1" spans="1:9">
      <c r="A86" s="6">
        <v>84</v>
      </c>
      <c r="B86" s="6" t="str">
        <f>"48712023013022360812897"</f>
        <v>48712023013022360812897</v>
      </c>
      <c r="C86" s="6" t="str">
        <f t="shared" si="17"/>
        <v>0101</v>
      </c>
      <c r="D86" s="6" t="s">
        <v>10</v>
      </c>
      <c r="E86" s="6" t="s">
        <v>11</v>
      </c>
      <c r="F86" s="6" t="str">
        <f>"孙云"</f>
        <v>孙云</v>
      </c>
      <c r="G86" s="6" t="str">
        <f>"男"</f>
        <v>男</v>
      </c>
      <c r="H86" s="6" t="str">
        <f>"1996-10-24"</f>
        <v>1996-10-24</v>
      </c>
      <c r="I86" s="6"/>
    </row>
    <row r="87" s="1" customFormat="1" ht="30" customHeight="1" spans="1:9">
      <c r="A87" s="6">
        <v>85</v>
      </c>
      <c r="B87" s="6" t="str">
        <f>"48712023013022395212901"</f>
        <v>48712023013022395212901</v>
      </c>
      <c r="C87" s="6" t="str">
        <f t="shared" si="17"/>
        <v>0101</v>
      </c>
      <c r="D87" s="6" t="s">
        <v>10</v>
      </c>
      <c r="E87" s="6" t="s">
        <v>11</v>
      </c>
      <c r="F87" s="6" t="str">
        <f>"刘小叶"</f>
        <v>刘小叶</v>
      </c>
      <c r="G87" s="6" t="str">
        <f t="shared" si="23"/>
        <v>女</v>
      </c>
      <c r="H87" s="6" t="str">
        <f>"1999-06-10"</f>
        <v>1999-06-10</v>
      </c>
      <c r="I87" s="6"/>
    </row>
    <row r="88" s="1" customFormat="1" ht="30" customHeight="1" spans="1:9">
      <c r="A88" s="6">
        <v>86</v>
      </c>
      <c r="B88" s="6" t="str">
        <f>"48712023013022492312909"</f>
        <v>48712023013022492312909</v>
      </c>
      <c r="C88" s="6" t="str">
        <f t="shared" si="17"/>
        <v>0101</v>
      </c>
      <c r="D88" s="6" t="s">
        <v>10</v>
      </c>
      <c r="E88" s="6" t="s">
        <v>11</v>
      </c>
      <c r="F88" s="6" t="str">
        <f>"乐丽云"</f>
        <v>乐丽云</v>
      </c>
      <c r="G88" s="6" t="str">
        <f t="shared" si="23"/>
        <v>女</v>
      </c>
      <c r="H88" s="6" t="str">
        <f>"1997-03-09"</f>
        <v>1997-03-09</v>
      </c>
      <c r="I88" s="6"/>
    </row>
    <row r="89" s="1" customFormat="1" ht="30" customHeight="1" spans="1:9">
      <c r="A89" s="6">
        <v>87</v>
      </c>
      <c r="B89" s="6" t="str">
        <f>"48712023013022514612911"</f>
        <v>48712023013022514612911</v>
      </c>
      <c r="C89" s="6" t="str">
        <f t="shared" si="17"/>
        <v>0101</v>
      </c>
      <c r="D89" s="6" t="s">
        <v>10</v>
      </c>
      <c r="E89" s="6" t="s">
        <v>11</v>
      </c>
      <c r="F89" s="6" t="str">
        <f>"许森"</f>
        <v>许森</v>
      </c>
      <c r="G89" s="6" t="str">
        <f t="shared" ref="G89:G93" si="24">"男"</f>
        <v>男</v>
      </c>
      <c r="H89" s="6" t="str">
        <f>"1998-12-26"</f>
        <v>1998-12-26</v>
      </c>
      <c r="I89" s="6"/>
    </row>
    <row r="90" s="1" customFormat="1" ht="30" customHeight="1" spans="1:9">
      <c r="A90" s="6">
        <v>88</v>
      </c>
      <c r="B90" s="6" t="str">
        <f>"48712023013022515112912"</f>
        <v>48712023013022515112912</v>
      </c>
      <c r="C90" s="6" t="str">
        <f t="shared" si="17"/>
        <v>0101</v>
      </c>
      <c r="D90" s="6" t="s">
        <v>10</v>
      </c>
      <c r="E90" s="6" t="s">
        <v>11</v>
      </c>
      <c r="F90" s="6" t="str">
        <f>"杨玉警"</f>
        <v>杨玉警</v>
      </c>
      <c r="G90" s="6" t="str">
        <f t="shared" ref="G90:G95" si="25">"女"</f>
        <v>女</v>
      </c>
      <c r="H90" s="6" t="str">
        <f>"1994-10-23"</f>
        <v>1994-10-23</v>
      </c>
      <c r="I90" s="6"/>
    </row>
    <row r="91" s="1" customFormat="1" ht="30" customHeight="1" spans="1:9">
      <c r="A91" s="6">
        <v>89</v>
      </c>
      <c r="B91" s="6" t="str">
        <f>"48712023013022553712915"</f>
        <v>48712023013022553712915</v>
      </c>
      <c r="C91" s="6" t="str">
        <f t="shared" si="17"/>
        <v>0101</v>
      </c>
      <c r="D91" s="6" t="s">
        <v>10</v>
      </c>
      <c r="E91" s="6" t="s">
        <v>11</v>
      </c>
      <c r="F91" s="6" t="str">
        <f>"王晴"</f>
        <v>王晴</v>
      </c>
      <c r="G91" s="6" t="str">
        <f t="shared" si="25"/>
        <v>女</v>
      </c>
      <c r="H91" s="6" t="str">
        <f>"1999-06-02"</f>
        <v>1999-06-02</v>
      </c>
      <c r="I91" s="6"/>
    </row>
    <row r="92" s="1" customFormat="1" ht="30" customHeight="1" spans="1:9">
      <c r="A92" s="6">
        <v>90</v>
      </c>
      <c r="B92" s="6" t="str">
        <f>"48712023013022594812919"</f>
        <v>48712023013022594812919</v>
      </c>
      <c r="C92" s="6" t="str">
        <f t="shared" si="17"/>
        <v>0101</v>
      </c>
      <c r="D92" s="6" t="s">
        <v>10</v>
      </c>
      <c r="E92" s="6" t="s">
        <v>11</v>
      </c>
      <c r="F92" s="6" t="str">
        <f>"刘付皓渝"</f>
        <v>刘付皓渝</v>
      </c>
      <c r="G92" s="6" t="str">
        <f t="shared" si="24"/>
        <v>男</v>
      </c>
      <c r="H92" s="6" t="str">
        <f>"2000-02-21"</f>
        <v>2000-02-21</v>
      </c>
      <c r="I92" s="6"/>
    </row>
    <row r="93" s="1" customFormat="1" ht="30" customHeight="1" spans="1:9">
      <c r="A93" s="6">
        <v>91</v>
      </c>
      <c r="B93" s="6" t="str">
        <f>"48712023013108245313001"</f>
        <v>48712023013108245313001</v>
      </c>
      <c r="C93" s="6" t="str">
        <f t="shared" si="17"/>
        <v>0101</v>
      </c>
      <c r="D93" s="6" t="s">
        <v>10</v>
      </c>
      <c r="E93" s="6" t="s">
        <v>11</v>
      </c>
      <c r="F93" s="6" t="str">
        <f>"王炬登"</f>
        <v>王炬登</v>
      </c>
      <c r="G93" s="6" t="str">
        <f t="shared" si="24"/>
        <v>男</v>
      </c>
      <c r="H93" s="6" t="str">
        <f>"1991-01-01"</f>
        <v>1991-01-01</v>
      </c>
      <c r="I93" s="6"/>
    </row>
    <row r="94" s="1" customFormat="1" ht="30" customHeight="1" spans="1:9">
      <c r="A94" s="6">
        <v>92</v>
      </c>
      <c r="B94" s="6" t="str">
        <f>"48712023013109035213022"</f>
        <v>48712023013109035213022</v>
      </c>
      <c r="C94" s="6" t="str">
        <f t="shared" si="17"/>
        <v>0101</v>
      </c>
      <c r="D94" s="6" t="s">
        <v>10</v>
      </c>
      <c r="E94" s="6" t="s">
        <v>11</v>
      </c>
      <c r="F94" s="6" t="str">
        <f>"华毓芹"</f>
        <v>华毓芹</v>
      </c>
      <c r="G94" s="6" t="str">
        <f t="shared" si="25"/>
        <v>女</v>
      </c>
      <c r="H94" s="6" t="str">
        <f>"1991-11-27"</f>
        <v>1991-11-27</v>
      </c>
      <c r="I94" s="6"/>
    </row>
    <row r="95" s="1" customFormat="1" ht="30" customHeight="1" spans="1:9">
      <c r="A95" s="6">
        <v>93</v>
      </c>
      <c r="B95" s="6" t="str">
        <f>"48712023013109201613030"</f>
        <v>48712023013109201613030</v>
      </c>
      <c r="C95" s="6" t="str">
        <f t="shared" si="17"/>
        <v>0101</v>
      </c>
      <c r="D95" s="6" t="s">
        <v>10</v>
      </c>
      <c r="E95" s="6" t="s">
        <v>11</v>
      </c>
      <c r="F95" s="6" t="str">
        <f>"黄倩玉"</f>
        <v>黄倩玉</v>
      </c>
      <c r="G95" s="6" t="str">
        <f t="shared" si="25"/>
        <v>女</v>
      </c>
      <c r="H95" s="6" t="str">
        <f>"1990-07-07"</f>
        <v>1990-07-07</v>
      </c>
      <c r="I95" s="6"/>
    </row>
    <row r="96" s="1" customFormat="1" ht="30" customHeight="1" spans="1:9">
      <c r="A96" s="6">
        <v>94</v>
      </c>
      <c r="B96" s="6" t="str">
        <f>"48712023013109203613031"</f>
        <v>48712023013109203613031</v>
      </c>
      <c r="C96" s="6" t="str">
        <f t="shared" si="17"/>
        <v>0101</v>
      </c>
      <c r="D96" s="6" t="s">
        <v>10</v>
      </c>
      <c r="E96" s="6" t="s">
        <v>11</v>
      </c>
      <c r="F96" s="6" t="str">
        <f>"周增博"</f>
        <v>周增博</v>
      </c>
      <c r="G96" s="6" t="str">
        <f t="shared" ref="G96:G103" si="26">"男"</f>
        <v>男</v>
      </c>
      <c r="H96" s="6" t="str">
        <f>"1994-10-29"</f>
        <v>1994-10-29</v>
      </c>
      <c r="I96" s="6"/>
    </row>
    <row r="97" s="1" customFormat="1" ht="30" customHeight="1" spans="1:9">
      <c r="A97" s="6">
        <v>95</v>
      </c>
      <c r="B97" s="6" t="str">
        <f>"48712023013109313113041"</f>
        <v>48712023013109313113041</v>
      </c>
      <c r="C97" s="6" t="str">
        <f t="shared" si="17"/>
        <v>0101</v>
      </c>
      <c r="D97" s="6" t="s">
        <v>10</v>
      </c>
      <c r="E97" s="6" t="s">
        <v>11</v>
      </c>
      <c r="F97" s="6" t="str">
        <f>"李儒瑞"</f>
        <v>李儒瑞</v>
      </c>
      <c r="G97" s="6" t="str">
        <f t="shared" si="26"/>
        <v>男</v>
      </c>
      <c r="H97" s="6" t="str">
        <f>"1993-11-19"</f>
        <v>1993-11-19</v>
      </c>
      <c r="I97" s="6"/>
    </row>
    <row r="98" s="1" customFormat="1" ht="30" customHeight="1" spans="1:9">
      <c r="A98" s="6">
        <v>96</v>
      </c>
      <c r="B98" s="6" t="str">
        <f>"48712023013109471213053"</f>
        <v>48712023013109471213053</v>
      </c>
      <c r="C98" s="6" t="str">
        <f t="shared" si="17"/>
        <v>0101</v>
      </c>
      <c r="D98" s="6" t="s">
        <v>10</v>
      </c>
      <c r="E98" s="6" t="s">
        <v>11</v>
      </c>
      <c r="F98" s="6" t="str">
        <f>"闫宁"</f>
        <v>闫宁</v>
      </c>
      <c r="G98" s="6" t="str">
        <f t="shared" ref="G98:G100" si="27">"女"</f>
        <v>女</v>
      </c>
      <c r="H98" s="6" t="str">
        <f>"1993-02-18"</f>
        <v>1993-02-18</v>
      </c>
      <c r="I98" s="6"/>
    </row>
    <row r="99" s="1" customFormat="1" ht="30" customHeight="1" spans="1:9">
      <c r="A99" s="6">
        <v>97</v>
      </c>
      <c r="B99" s="6" t="str">
        <f>"48712023013109480213055"</f>
        <v>48712023013109480213055</v>
      </c>
      <c r="C99" s="6" t="str">
        <f t="shared" si="17"/>
        <v>0101</v>
      </c>
      <c r="D99" s="6" t="s">
        <v>10</v>
      </c>
      <c r="E99" s="6" t="s">
        <v>11</v>
      </c>
      <c r="F99" s="6" t="str">
        <f>"蔡欣欣"</f>
        <v>蔡欣欣</v>
      </c>
      <c r="G99" s="6" t="str">
        <f t="shared" si="27"/>
        <v>女</v>
      </c>
      <c r="H99" s="6" t="str">
        <f>"1993-10-25"</f>
        <v>1993-10-25</v>
      </c>
      <c r="I99" s="6"/>
    </row>
    <row r="100" s="1" customFormat="1" ht="30" customHeight="1" spans="1:9">
      <c r="A100" s="6">
        <v>98</v>
      </c>
      <c r="B100" s="6" t="str">
        <f>"48712023013109505713059"</f>
        <v>48712023013109505713059</v>
      </c>
      <c r="C100" s="6" t="str">
        <f t="shared" si="17"/>
        <v>0101</v>
      </c>
      <c r="D100" s="6" t="s">
        <v>10</v>
      </c>
      <c r="E100" s="6" t="s">
        <v>11</v>
      </c>
      <c r="F100" s="6" t="str">
        <f>"薛昱"</f>
        <v>薛昱</v>
      </c>
      <c r="G100" s="6" t="str">
        <f t="shared" si="27"/>
        <v>女</v>
      </c>
      <c r="H100" s="6" t="str">
        <f>"1997-04-23"</f>
        <v>1997-04-23</v>
      </c>
      <c r="I100" s="6"/>
    </row>
    <row r="101" s="1" customFormat="1" ht="30" customHeight="1" spans="1:9">
      <c r="A101" s="6">
        <v>99</v>
      </c>
      <c r="B101" s="6" t="str">
        <f>"48712023013110170613087"</f>
        <v>48712023013110170613087</v>
      </c>
      <c r="C101" s="6" t="str">
        <f t="shared" si="17"/>
        <v>0101</v>
      </c>
      <c r="D101" s="6" t="s">
        <v>10</v>
      </c>
      <c r="E101" s="6" t="s">
        <v>11</v>
      </c>
      <c r="F101" s="6" t="str">
        <f>"郭金善"</f>
        <v>郭金善</v>
      </c>
      <c r="G101" s="6" t="str">
        <f t="shared" si="26"/>
        <v>男</v>
      </c>
      <c r="H101" s="6" t="str">
        <f>"1994-09-25"</f>
        <v>1994-09-25</v>
      </c>
      <c r="I101" s="6"/>
    </row>
    <row r="102" s="1" customFormat="1" ht="30" customHeight="1" spans="1:9">
      <c r="A102" s="6">
        <v>100</v>
      </c>
      <c r="B102" s="6" t="str">
        <f>"48712023013110201813094"</f>
        <v>48712023013110201813094</v>
      </c>
      <c r="C102" s="6" t="str">
        <f t="shared" si="17"/>
        <v>0101</v>
      </c>
      <c r="D102" s="6" t="s">
        <v>10</v>
      </c>
      <c r="E102" s="6" t="s">
        <v>11</v>
      </c>
      <c r="F102" s="6" t="str">
        <f>"黄麒睿"</f>
        <v>黄麒睿</v>
      </c>
      <c r="G102" s="6" t="str">
        <f t="shared" si="26"/>
        <v>男</v>
      </c>
      <c r="H102" s="6" t="str">
        <f>"1992-05-18"</f>
        <v>1992-05-18</v>
      </c>
      <c r="I102" s="6"/>
    </row>
    <row r="103" s="1" customFormat="1" ht="30" customHeight="1" spans="1:9">
      <c r="A103" s="6">
        <v>101</v>
      </c>
      <c r="B103" s="6" t="str">
        <f>"48712023013110241513101"</f>
        <v>48712023013110241513101</v>
      </c>
      <c r="C103" s="6" t="str">
        <f t="shared" si="17"/>
        <v>0101</v>
      </c>
      <c r="D103" s="6" t="s">
        <v>10</v>
      </c>
      <c r="E103" s="6" t="s">
        <v>11</v>
      </c>
      <c r="F103" s="6" t="str">
        <f>"范虓肇"</f>
        <v>范虓肇</v>
      </c>
      <c r="G103" s="6" t="str">
        <f t="shared" si="26"/>
        <v>男</v>
      </c>
      <c r="H103" s="6" t="str">
        <f>"1998-01-29"</f>
        <v>1998-01-29</v>
      </c>
      <c r="I103" s="6"/>
    </row>
    <row r="104" s="1" customFormat="1" ht="30" customHeight="1" spans="1:9">
      <c r="A104" s="6">
        <v>102</v>
      </c>
      <c r="B104" s="6" t="str">
        <f>"48712023013111015913157"</f>
        <v>48712023013111015913157</v>
      </c>
      <c r="C104" s="6" t="str">
        <f t="shared" si="17"/>
        <v>0101</v>
      </c>
      <c r="D104" s="6" t="s">
        <v>10</v>
      </c>
      <c r="E104" s="6" t="s">
        <v>11</v>
      </c>
      <c r="F104" s="6" t="str">
        <f>"王欢"</f>
        <v>王欢</v>
      </c>
      <c r="G104" s="6" t="str">
        <f t="shared" ref="G104:G107" si="28">"女"</f>
        <v>女</v>
      </c>
      <c r="H104" s="6" t="str">
        <f>"1994-12-14"</f>
        <v>1994-12-14</v>
      </c>
      <c r="I104" s="6"/>
    </row>
    <row r="105" s="1" customFormat="1" ht="30" customHeight="1" spans="1:9">
      <c r="A105" s="6">
        <v>103</v>
      </c>
      <c r="B105" s="6" t="str">
        <f>"48712023013111111913174"</f>
        <v>48712023013111111913174</v>
      </c>
      <c r="C105" s="6" t="str">
        <f t="shared" si="17"/>
        <v>0101</v>
      </c>
      <c r="D105" s="6" t="s">
        <v>10</v>
      </c>
      <c r="E105" s="6" t="s">
        <v>11</v>
      </c>
      <c r="F105" s="6" t="str">
        <f>"陈科铮"</f>
        <v>陈科铮</v>
      </c>
      <c r="G105" s="6" t="str">
        <f t="shared" si="28"/>
        <v>女</v>
      </c>
      <c r="H105" s="6" t="str">
        <f>"1998-10-30"</f>
        <v>1998-10-30</v>
      </c>
      <c r="I105" s="6"/>
    </row>
    <row r="106" s="1" customFormat="1" ht="30" customHeight="1" spans="1:9">
      <c r="A106" s="6">
        <v>104</v>
      </c>
      <c r="B106" s="6" t="str">
        <f>"48712023013111413213214"</f>
        <v>48712023013111413213214</v>
      </c>
      <c r="C106" s="6" t="str">
        <f t="shared" si="17"/>
        <v>0101</v>
      </c>
      <c r="D106" s="6" t="s">
        <v>10</v>
      </c>
      <c r="E106" s="6" t="s">
        <v>11</v>
      </c>
      <c r="F106" s="6" t="str">
        <f>"林报龙"</f>
        <v>林报龙</v>
      </c>
      <c r="G106" s="6" t="str">
        <f t="shared" ref="G106:G109" si="29">"男"</f>
        <v>男</v>
      </c>
      <c r="H106" s="6" t="str">
        <f>"1993-10-14"</f>
        <v>1993-10-14</v>
      </c>
      <c r="I106" s="6"/>
    </row>
    <row r="107" s="1" customFormat="1" ht="30" customHeight="1" spans="1:9">
      <c r="A107" s="6">
        <v>105</v>
      </c>
      <c r="B107" s="6" t="str">
        <f>"48712023013111452413223"</f>
        <v>48712023013111452413223</v>
      </c>
      <c r="C107" s="6" t="str">
        <f t="shared" si="17"/>
        <v>0101</v>
      </c>
      <c r="D107" s="6" t="s">
        <v>10</v>
      </c>
      <c r="E107" s="6" t="s">
        <v>11</v>
      </c>
      <c r="F107" s="6" t="str">
        <f>"朱典兰"</f>
        <v>朱典兰</v>
      </c>
      <c r="G107" s="6" t="str">
        <f t="shared" si="28"/>
        <v>女</v>
      </c>
      <c r="H107" s="6" t="str">
        <f>"1995-06-15"</f>
        <v>1995-06-15</v>
      </c>
      <c r="I107" s="6"/>
    </row>
    <row r="108" s="1" customFormat="1" ht="30" customHeight="1" spans="1:9">
      <c r="A108" s="6">
        <v>106</v>
      </c>
      <c r="B108" s="6" t="str">
        <f>"48712023013111493313228"</f>
        <v>48712023013111493313228</v>
      </c>
      <c r="C108" s="6" t="str">
        <f t="shared" si="17"/>
        <v>0101</v>
      </c>
      <c r="D108" s="6" t="s">
        <v>10</v>
      </c>
      <c r="E108" s="6" t="s">
        <v>11</v>
      </c>
      <c r="F108" s="6" t="str">
        <f>"蔡亲冠"</f>
        <v>蔡亲冠</v>
      </c>
      <c r="G108" s="6" t="str">
        <f t="shared" si="29"/>
        <v>男</v>
      </c>
      <c r="H108" s="6" t="str">
        <f>"1987-03-07"</f>
        <v>1987-03-07</v>
      </c>
      <c r="I108" s="6"/>
    </row>
    <row r="109" s="1" customFormat="1" ht="30" customHeight="1" spans="1:9">
      <c r="A109" s="6">
        <v>107</v>
      </c>
      <c r="B109" s="6" t="str">
        <f>"48712023013114240613373"</f>
        <v>48712023013114240613373</v>
      </c>
      <c r="C109" s="6" t="str">
        <f t="shared" si="17"/>
        <v>0101</v>
      </c>
      <c r="D109" s="6" t="s">
        <v>10</v>
      </c>
      <c r="E109" s="6" t="s">
        <v>11</v>
      </c>
      <c r="F109" s="6" t="str">
        <f>"陈涛"</f>
        <v>陈涛</v>
      </c>
      <c r="G109" s="6" t="str">
        <f t="shared" si="29"/>
        <v>男</v>
      </c>
      <c r="H109" s="6" t="str">
        <f>"1992-07-19"</f>
        <v>1992-07-19</v>
      </c>
      <c r="I109" s="6"/>
    </row>
    <row r="110" s="1" customFormat="1" ht="30" customHeight="1" spans="1:9">
      <c r="A110" s="6">
        <v>108</v>
      </c>
      <c r="B110" s="6" t="str">
        <f>"48712023013115190213435"</f>
        <v>48712023013115190213435</v>
      </c>
      <c r="C110" s="6" t="str">
        <f t="shared" si="17"/>
        <v>0101</v>
      </c>
      <c r="D110" s="6" t="s">
        <v>10</v>
      </c>
      <c r="E110" s="6" t="s">
        <v>11</v>
      </c>
      <c r="F110" s="6" t="str">
        <f>"林青虹"</f>
        <v>林青虹</v>
      </c>
      <c r="G110" s="6" t="str">
        <f t="shared" ref="G110:G114" si="30">"女"</f>
        <v>女</v>
      </c>
      <c r="H110" s="6" t="str">
        <f>"1988-05-28"</f>
        <v>1988-05-28</v>
      </c>
      <c r="I110" s="6"/>
    </row>
    <row r="111" s="1" customFormat="1" ht="30" customHeight="1" spans="1:9">
      <c r="A111" s="6">
        <v>109</v>
      </c>
      <c r="B111" s="6" t="str">
        <f>"48712023013115432713480"</f>
        <v>48712023013115432713480</v>
      </c>
      <c r="C111" s="6" t="str">
        <f t="shared" si="17"/>
        <v>0101</v>
      </c>
      <c r="D111" s="6" t="s">
        <v>10</v>
      </c>
      <c r="E111" s="6" t="s">
        <v>11</v>
      </c>
      <c r="F111" s="6" t="str">
        <f>"余博文"</f>
        <v>余博文</v>
      </c>
      <c r="G111" s="6" t="str">
        <f t="shared" ref="G111:G115" si="31">"男"</f>
        <v>男</v>
      </c>
      <c r="H111" s="6" t="str">
        <f>"1995-02-03"</f>
        <v>1995-02-03</v>
      </c>
      <c r="I111" s="6"/>
    </row>
    <row r="112" s="1" customFormat="1" ht="30" customHeight="1" spans="1:9">
      <c r="A112" s="6">
        <v>110</v>
      </c>
      <c r="B112" s="6" t="str">
        <f>"48712023013115435713481"</f>
        <v>48712023013115435713481</v>
      </c>
      <c r="C112" s="6" t="str">
        <f t="shared" si="17"/>
        <v>0101</v>
      </c>
      <c r="D112" s="6" t="s">
        <v>10</v>
      </c>
      <c r="E112" s="6" t="s">
        <v>11</v>
      </c>
      <c r="F112" s="6" t="str">
        <f>"曾维程"</f>
        <v>曾维程</v>
      </c>
      <c r="G112" s="6" t="str">
        <f t="shared" si="31"/>
        <v>男</v>
      </c>
      <c r="H112" s="6" t="str">
        <f>"2000-01-02"</f>
        <v>2000-01-02</v>
      </c>
      <c r="I112" s="6"/>
    </row>
    <row r="113" s="1" customFormat="1" ht="30" customHeight="1" spans="1:9">
      <c r="A113" s="6">
        <v>111</v>
      </c>
      <c r="B113" s="6" t="str">
        <f>"48712023013115560013494"</f>
        <v>48712023013115560013494</v>
      </c>
      <c r="C113" s="6" t="str">
        <f t="shared" si="17"/>
        <v>0101</v>
      </c>
      <c r="D113" s="6" t="s">
        <v>10</v>
      </c>
      <c r="E113" s="6" t="s">
        <v>11</v>
      </c>
      <c r="F113" s="6" t="str">
        <f>"王静"</f>
        <v>王静</v>
      </c>
      <c r="G113" s="6" t="str">
        <f t="shared" si="30"/>
        <v>女</v>
      </c>
      <c r="H113" s="6" t="str">
        <f>"1995-05-04"</f>
        <v>1995-05-04</v>
      </c>
      <c r="I113" s="6"/>
    </row>
    <row r="114" s="1" customFormat="1" ht="30" customHeight="1" spans="1:9">
      <c r="A114" s="6">
        <v>112</v>
      </c>
      <c r="B114" s="6" t="str">
        <f>"48712023013116273713532"</f>
        <v>48712023013116273713532</v>
      </c>
      <c r="C114" s="6" t="str">
        <f t="shared" si="17"/>
        <v>0101</v>
      </c>
      <c r="D114" s="6" t="s">
        <v>10</v>
      </c>
      <c r="E114" s="6" t="s">
        <v>11</v>
      </c>
      <c r="F114" s="6" t="str">
        <f>"陈秀雯"</f>
        <v>陈秀雯</v>
      </c>
      <c r="G114" s="6" t="str">
        <f t="shared" si="30"/>
        <v>女</v>
      </c>
      <c r="H114" s="6" t="str">
        <f>"1998-05-10"</f>
        <v>1998-05-10</v>
      </c>
      <c r="I114" s="6"/>
    </row>
    <row r="115" s="1" customFormat="1" ht="30" customHeight="1" spans="1:9">
      <c r="A115" s="6">
        <v>113</v>
      </c>
      <c r="B115" s="6" t="str">
        <f>"48712023013116512013557"</f>
        <v>48712023013116512013557</v>
      </c>
      <c r="C115" s="6" t="str">
        <f t="shared" si="17"/>
        <v>0101</v>
      </c>
      <c r="D115" s="6" t="s">
        <v>10</v>
      </c>
      <c r="E115" s="6" t="s">
        <v>11</v>
      </c>
      <c r="F115" s="6" t="str">
        <f>"谢艺华"</f>
        <v>谢艺华</v>
      </c>
      <c r="G115" s="6" t="str">
        <f t="shared" si="31"/>
        <v>男</v>
      </c>
      <c r="H115" s="6" t="str">
        <f>"1993-12-29"</f>
        <v>1993-12-29</v>
      </c>
      <c r="I115" s="6"/>
    </row>
    <row r="116" s="1" customFormat="1" ht="30" customHeight="1" spans="1:9">
      <c r="A116" s="6">
        <v>114</v>
      </c>
      <c r="B116" s="6" t="str">
        <f>"48712023013117194113589"</f>
        <v>48712023013117194113589</v>
      </c>
      <c r="C116" s="6" t="str">
        <f t="shared" si="17"/>
        <v>0101</v>
      </c>
      <c r="D116" s="6" t="s">
        <v>10</v>
      </c>
      <c r="E116" s="6" t="s">
        <v>11</v>
      </c>
      <c r="F116" s="6" t="str">
        <f>"彭梦姣"</f>
        <v>彭梦姣</v>
      </c>
      <c r="G116" s="6" t="str">
        <f>"女"</f>
        <v>女</v>
      </c>
      <c r="H116" s="6" t="str">
        <f>"1997-12-21"</f>
        <v>1997-12-21</v>
      </c>
      <c r="I116" s="6"/>
    </row>
    <row r="117" s="1" customFormat="1" ht="30" customHeight="1" spans="1:9">
      <c r="A117" s="6">
        <v>115</v>
      </c>
      <c r="B117" s="6" t="str">
        <f>"48712023013117350413604"</f>
        <v>48712023013117350413604</v>
      </c>
      <c r="C117" s="6" t="str">
        <f t="shared" si="17"/>
        <v>0101</v>
      </c>
      <c r="D117" s="6" t="s">
        <v>10</v>
      </c>
      <c r="E117" s="6" t="s">
        <v>11</v>
      </c>
      <c r="F117" s="6" t="str">
        <f>"林拥书"</f>
        <v>林拥书</v>
      </c>
      <c r="G117" s="6" t="str">
        <f t="shared" ref="G117:G121" si="32">"男"</f>
        <v>男</v>
      </c>
      <c r="H117" s="6" t="str">
        <f>"1994-12-01"</f>
        <v>1994-12-01</v>
      </c>
      <c r="I117" s="6"/>
    </row>
    <row r="118" s="1" customFormat="1" ht="30" customHeight="1" spans="1:9">
      <c r="A118" s="6">
        <v>116</v>
      </c>
      <c r="B118" s="6" t="str">
        <f>"48712023013117461013609"</f>
        <v>48712023013117461013609</v>
      </c>
      <c r="C118" s="6" t="str">
        <f t="shared" si="17"/>
        <v>0101</v>
      </c>
      <c r="D118" s="6" t="s">
        <v>10</v>
      </c>
      <c r="E118" s="6" t="s">
        <v>11</v>
      </c>
      <c r="F118" s="6" t="str">
        <f>"高天赐"</f>
        <v>高天赐</v>
      </c>
      <c r="G118" s="6" t="str">
        <f t="shared" si="32"/>
        <v>男</v>
      </c>
      <c r="H118" s="6" t="str">
        <f>"1992-06-28"</f>
        <v>1992-06-28</v>
      </c>
      <c r="I118" s="6"/>
    </row>
    <row r="119" s="1" customFormat="1" ht="30" customHeight="1" spans="1:9">
      <c r="A119" s="6">
        <v>117</v>
      </c>
      <c r="B119" s="6" t="str">
        <f>"48712023013117515613611"</f>
        <v>48712023013117515613611</v>
      </c>
      <c r="C119" s="6" t="str">
        <f t="shared" si="17"/>
        <v>0101</v>
      </c>
      <c r="D119" s="6" t="s">
        <v>10</v>
      </c>
      <c r="E119" s="6" t="s">
        <v>11</v>
      </c>
      <c r="F119" s="6" t="str">
        <f>"吴日萍"</f>
        <v>吴日萍</v>
      </c>
      <c r="G119" s="6" t="str">
        <f t="shared" ref="G119:G123" si="33">"女"</f>
        <v>女</v>
      </c>
      <c r="H119" s="6" t="str">
        <f>"1996-06-03"</f>
        <v>1996-06-03</v>
      </c>
      <c r="I119" s="6"/>
    </row>
    <row r="120" s="1" customFormat="1" ht="30" customHeight="1" spans="1:9">
      <c r="A120" s="6">
        <v>118</v>
      </c>
      <c r="B120" s="6" t="str">
        <f>"48712023013118205813624"</f>
        <v>48712023013118205813624</v>
      </c>
      <c r="C120" s="6" t="str">
        <f t="shared" si="17"/>
        <v>0101</v>
      </c>
      <c r="D120" s="6" t="s">
        <v>10</v>
      </c>
      <c r="E120" s="6" t="s">
        <v>11</v>
      </c>
      <c r="F120" s="6" t="str">
        <f>"吉书舟"</f>
        <v>吉书舟</v>
      </c>
      <c r="G120" s="6" t="str">
        <f t="shared" si="32"/>
        <v>男</v>
      </c>
      <c r="H120" s="6" t="str">
        <f>"1997-09-30"</f>
        <v>1997-09-30</v>
      </c>
      <c r="I120" s="6"/>
    </row>
    <row r="121" s="1" customFormat="1" ht="30" customHeight="1" spans="1:9">
      <c r="A121" s="6">
        <v>119</v>
      </c>
      <c r="B121" s="6" t="str">
        <f>"48712023013120280413688"</f>
        <v>48712023013120280413688</v>
      </c>
      <c r="C121" s="6" t="str">
        <f t="shared" si="17"/>
        <v>0101</v>
      </c>
      <c r="D121" s="6" t="s">
        <v>10</v>
      </c>
      <c r="E121" s="6" t="s">
        <v>11</v>
      </c>
      <c r="F121" s="6" t="str">
        <f>"蒙重良"</f>
        <v>蒙重良</v>
      </c>
      <c r="G121" s="6" t="str">
        <f t="shared" si="32"/>
        <v>男</v>
      </c>
      <c r="H121" s="6" t="str">
        <f>"2000-03-14"</f>
        <v>2000-03-14</v>
      </c>
      <c r="I121" s="6"/>
    </row>
    <row r="122" s="1" customFormat="1" ht="30" customHeight="1" spans="1:9">
      <c r="A122" s="6">
        <v>120</v>
      </c>
      <c r="B122" s="6" t="str">
        <f>"48712023013120394513694"</f>
        <v>48712023013120394513694</v>
      </c>
      <c r="C122" s="6" t="str">
        <f t="shared" si="17"/>
        <v>0101</v>
      </c>
      <c r="D122" s="6" t="s">
        <v>10</v>
      </c>
      <c r="E122" s="6" t="s">
        <v>11</v>
      </c>
      <c r="F122" s="6" t="str">
        <f>"马荥苓"</f>
        <v>马荥苓</v>
      </c>
      <c r="G122" s="6" t="str">
        <f t="shared" si="33"/>
        <v>女</v>
      </c>
      <c r="H122" s="6" t="str">
        <f>"1991-07-04"</f>
        <v>1991-07-04</v>
      </c>
      <c r="I122" s="6"/>
    </row>
    <row r="123" s="1" customFormat="1" ht="30" customHeight="1" spans="1:9">
      <c r="A123" s="6">
        <v>121</v>
      </c>
      <c r="B123" s="6" t="str">
        <f>"48712023013120444413697"</f>
        <v>48712023013120444413697</v>
      </c>
      <c r="C123" s="6" t="str">
        <f t="shared" si="17"/>
        <v>0101</v>
      </c>
      <c r="D123" s="6" t="s">
        <v>10</v>
      </c>
      <c r="E123" s="6" t="s">
        <v>11</v>
      </c>
      <c r="F123" s="6" t="str">
        <f>"黄宗婷"</f>
        <v>黄宗婷</v>
      </c>
      <c r="G123" s="6" t="str">
        <f t="shared" si="33"/>
        <v>女</v>
      </c>
      <c r="H123" s="6" t="str">
        <f>"1992-02-28"</f>
        <v>1992-02-28</v>
      </c>
      <c r="I123" s="6"/>
    </row>
    <row r="124" s="1" customFormat="1" ht="30" customHeight="1" spans="1:9">
      <c r="A124" s="6">
        <v>122</v>
      </c>
      <c r="B124" s="6" t="str">
        <f>"48712023013120483613703"</f>
        <v>48712023013120483613703</v>
      </c>
      <c r="C124" s="6" t="str">
        <f t="shared" si="17"/>
        <v>0101</v>
      </c>
      <c r="D124" s="6" t="s">
        <v>10</v>
      </c>
      <c r="E124" s="6" t="s">
        <v>11</v>
      </c>
      <c r="F124" s="6" t="str">
        <f>"罗昌庆"</f>
        <v>罗昌庆</v>
      </c>
      <c r="G124" s="6" t="str">
        <f>"男"</f>
        <v>男</v>
      </c>
      <c r="H124" s="6" t="str">
        <f>"1996-07-01"</f>
        <v>1996-07-01</v>
      </c>
      <c r="I124" s="6"/>
    </row>
    <row r="125" s="1" customFormat="1" ht="30" customHeight="1" spans="1:9">
      <c r="A125" s="6">
        <v>123</v>
      </c>
      <c r="B125" s="6" t="str">
        <f>"48712023013121293213720"</f>
        <v>48712023013121293213720</v>
      </c>
      <c r="C125" s="6" t="str">
        <f t="shared" si="17"/>
        <v>0101</v>
      </c>
      <c r="D125" s="6" t="s">
        <v>10</v>
      </c>
      <c r="E125" s="6" t="s">
        <v>11</v>
      </c>
      <c r="F125" s="6" t="str">
        <f>"尹思源"</f>
        <v>尹思源</v>
      </c>
      <c r="G125" s="6" t="str">
        <f t="shared" ref="G125:G127" si="34">"女"</f>
        <v>女</v>
      </c>
      <c r="H125" s="6" t="str">
        <f>"1996-08-26"</f>
        <v>1996-08-26</v>
      </c>
      <c r="I125" s="6"/>
    </row>
    <row r="126" s="1" customFormat="1" ht="30" customHeight="1" spans="1:9">
      <c r="A126" s="6">
        <v>124</v>
      </c>
      <c r="B126" s="6" t="str">
        <f>"48712023013122112613744"</f>
        <v>48712023013122112613744</v>
      </c>
      <c r="C126" s="6" t="str">
        <f t="shared" si="17"/>
        <v>0101</v>
      </c>
      <c r="D126" s="6" t="s">
        <v>10</v>
      </c>
      <c r="E126" s="6" t="s">
        <v>11</v>
      </c>
      <c r="F126" s="6" t="str">
        <f>"袁哲"</f>
        <v>袁哲</v>
      </c>
      <c r="G126" s="6" t="str">
        <f t="shared" si="34"/>
        <v>女</v>
      </c>
      <c r="H126" s="6" t="str">
        <f>"1997-12-01"</f>
        <v>1997-12-01</v>
      </c>
      <c r="I126" s="6"/>
    </row>
    <row r="127" s="1" customFormat="1" ht="30" customHeight="1" spans="1:9">
      <c r="A127" s="6">
        <v>125</v>
      </c>
      <c r="B127" s="6" t="str">
        <f>"48712023020100482513781"</f>
        <v>48712023020100482513781</v>
      </c>
      <c r="C127" s="6" t="str">
        <f t="shared" si="17"/>
        <v>0101</v>
      </c>
      <c r="D127" s="6" t="s">
        <v>10</v>
      </c>
      <c r="E127" s="6" t="s">
        <v>11</v>
      </c>
      <c r="F127" s="6" t="str">
        <f>"符蕾"</f>
        <v>符蕾</v>
      </c>
      <c r="G127" s="6" t="str">
        <f t="shared" si="34"/>
        <v>女</v>
      </c>
      <c r="H127" s="6" t="str">
        <f>"1994-09-26"</f>
        <v>1994-09-26</v>
      </c>
      <c r="I127" s="6"/>
    </row>
    <row r="128" s="1" customFormat="1" ht="30" customHeight="1" spans="1:9">
      <c r="A128" s="6">
        <v>126</v>
      </c>
      <c r="B128" s="6" t="str">
        <f>"48712023020108033113788"</f>
        <v>48712023020108033113788</v>
      </c>
      <c r="C128" s="6" t="str">
        <f t="shared" si="17"/>
        <v>0101</v>
      </c>
      <c r="D128" s="6" t="s">
        <v>10</v>
      </c>
      <c r="E128" s="6" t="s">
        <v>11</v>
      </c>
      <c r="F128" s="6" t="str">
        <f>"陆贵峥"</f>
        <v>陆贵峥</v>
      </c>
      <c r="G128" s="6" t="str">
        <f t="shared" ref="G128:G132" si="35">"男"</f>
        <v>男</v>
      </c>
      <c r="H128" s="6" t="str">
        <f>"2000-08-28"</f>
        <v>2000-08-28</v>
      </c>
      <c r="I128" s="6"/>
    </row>
    <row r="129" s="1" customFormat="1" ht="30" customHeight="1" spans="1:9">
      <c r="A129" s="6">
        <v>127</v>
      </c>
      <c r="B129" s="6" t="str">
        <f>"48712023020109195413945"</f>
        <v>48712023020109195413945</v>
      </c>
      <c r="C129" s="6" t="str">
        <f t="shared" si="17"/>
        <v>0101</v>
      </c>
      <c r="D129" s="6" t="s">
        <v>10</v>
      </c>
      <c r="E129" s="6" t="s">
        <v>11</v>
      </c>
      <c r="F129" s="6" t="str">
        <f>"冯恩绪"</f>
        <v>冯恩绪</v>
      </c>
      <c r="G129" s="6" t="str">
        <f t="shared" ref="G129:G135" si="36">"女"</f>
        <v>女</v>
      </c>
      <c r="H129" s="6" t="str">
        <f>"1999-06-29"</f>
        <v>1999-06-29</v>
      </c>
      <c r="I129" s="6"/>
    </row>
    <row r="130" s="1" customFormat="1" ht="30" customHeight="1" spans="1:9">
      <c r="A130" s="6">
        <v>128</v>
      </c>
      <c r="B130" s="6" t="str">
        <f>"48712023020109514114175"</f>
        <v>48712023020109514114175</v>
      </c>
      <c r="C130" s="6" t="str">
        <f t="shared" si="17"/>
        <v>0101</v>
      </c>
      <c r="D130" s="6" t="s">
        <v>10</v>
      </c>
      <c r="E130" s="6" t="s">
        <v>11</v>
      </c>
      <c r="F130" s="6" t="str">
        <f>"周肖岑"</f>
        <v>周肖岑</v>
      </c>
      <c r="G130" s="6" t="str">
        <f t="shared" si="36"/>
        <v>女</v>
      </c>
      <c r="H130" s="6" t="str">
        <f>"1996-06-12"</f>
        <v>1996-06-12</v>
      </c>
      <c r="I130" s="6"/>
    </row>
    <row r="131" s="1" customFormat="1" ht="30" customHeight="1" spans="1:9">
      <c r="A131" s="6">
        <v>129</v>
      </c>
      <c r="B131" s="6" t="str">
        <f>"48712023020110283214458"</f>
        <v>48712023020110283214458</v>
      </c>
      <c r="C131" s="6" t="str">
        <f t="shared" ref="C131:C194" si="37">"0101"</f>
        <v>0101</v>
      </c>
      <c r="D131" s="6" t="s">
        <v>10</v>
      </c>
      <c r="E131" s="6" t="s">
        <v>11</v>
      </c>
      <c r="F131" s="6" t="str">
        <f>"吴挺宁"</f>
        <v>吴挺宁</v>
      </c>
      <c r="G131" s="6" t="str">
        <f t="shared" si="35"/>
        <v>男</v>
      </c>
      <c r="H131" s="6" t="str">
        <f>"1988-04-26"</f>
        <v>1988-04-26</v>
      </c>
      <c r="I131" s="6"/>
    </row>
    <row r="132" s="1" customFormat="1" ht="30" customHeight="1" spans="1:9">
      <c r="A132" s="6">
        <v>130</v>
      </c>
      <c r="B132" s="6" t="str">
        <f>"48712023020110302914479"</f>
        <v>48712023020110302914479</v>
      </c>
      <c r="C132" s="6" t="str">
        <f t="shared" si="37"/>
        <v>0101</v>
      </c>
      <c r="D132" s="6" t="s">
        <v>10</v>
      </c>
      <c r="E132" s="6" t="s">
        <v>11</v>
      </c>
      <c r="F132" s="6" t="str">
        <f>"张聪聪"</f>
        <v>张聪聪</v>
      </c>
      <c r="G132" s="6" t="str">
        <f t="shared" si="35"/>
        <v>男</v>
      </c>
      <c r="H132" s="6" t="str">
        <f>"1992-01-02"</f>
        <v>1992-01-02</v>
      </c>
      <c r="I132" s="6"/>
    </row>
    <row r="133" s="1" customFormat="1" ht="30" customHeight="1" spans="1:9">
      <c r="A133" s="6">
        <v>131</v>
      </c>
      <c r="B133" s="6" t="str">
        <f>"48712023020110321814496"</f>
        <v>48712023020110321814496</v>
      </c>
      <c r="C133" s="6" t="str">
        <f t="shared" si="37"/>
        <v>0101</v>
      </c>
      <c r="D133" s="6" t="s">
        <v>10</v>
      </c>
      <c r="E133" s="6" t="s">
        <v>11</v>
      </c>
      <c r="F133" s="6" t="str">
        <f>"蒙钟孟"</f>
        <v>蒙钟孟</v>
      </c>
      <c r="G133" s="6" t="str">
        <f t="shared" si="36"/>
        <v>女</v>
      </c>
      <c r="H133" s="6" t="str">
        <f>"1993-02-08"</f>
        <v>1993-02-08</v>
      </c>
      <c r="I133" s="6"/>
    </row>
    <row r="134" s="1" customFormat="1" ht="30" customHeight="1" spans="1:9">
      <c r="A134" s="6">
        <v>132</v>
      </c>
      <c r="B134" s="6" t="str">
        <f>"48712023020111120314763"</f>
        <v>48712023020111120314763</v>
      </c>
      <c r="C134" s="6" t="str">
        <f t="shared" si="37"/>
        <v>0101</v>
      </c>
      <c r="D134" s="6" t="s">
        <v>10</v>
      </c>
      <c r="E134" s="6" t="s">
        <v>11</v>
      </c>
      <c r="F134" s="6" t="str">
        <f>"林晓菁"</f>
        <v>林晓菁</v>
      </c>
      <c r="G134" s="6" t="str">
        <f t="shared" si="36"/>
        <v>女</v>
      </c>
      <c r="H134" s="6" t="str">
        <f>"1994-04-30"</f>
        <v>1994-04-30</v>
      </c>
      <c r="I134" s="6"/>
    </row>
    <row r="135" s="1" customFormat="1" ht="30" customHeight="1" spans="1:9">
      <c r="A135" s="6">
        <v>133</v>
      </c>
      <c r="B135" s="6" t="str">
        <f>"48712023020111241114851"</f>
        <v>48712023020111241114851</v>
      </c>
      <c r="C135" s="6" t="str">
        <f t="shared" si="37"/>
        <v>0101</v>
      </c>
      <c r="D135" s="6" t="s">
        <v>10</v>
      </c>
      <c r="E135" s="6" t="s">
        <v>11</v>
      </c>
      <c r="F135" s="6" t="str">
        <f>"姚文旎"</f>
        <v>姚文旎</v>
      </c>
      <c r="G135" s="6" t="str">
        <f t="shared" si="36"/>
        <v>女</v>
      </c>
      <c r="H135" s="6" t="str">
        <f>"1992-04-13"</f>
        <v>1992-04-13</v>
      </c>
      <c r="I135" s="6"/>
    </row>
    <row r="136" s="1" customFormat="1" ht="30" customHeight="1" spans="1:9">
      <c r="A136" s="6">
        <v>134</v>
      </c>
      <c r="B136" s="6" t="str">
        <f>"48712023020112553715281"</f>
        <v>48712023020112553715281</v>
      </c>
      <c r="C136" s="6" t="str">
        <f t="shared" si="37"/>
        <v>0101</v>
      </c>
      <c r="D136" s="6" t="s">
        <v>10</v>
      </c>
      <c r="E136" s="6" t="s">
        <v>11</v>
      </c>
      <c r="F136" s="6" t="str">
        <f>"张龙"</f>
        <v>张龙</v>
      </c>
      <c r="G136" s="6" t="str">
        <f t="shared" ref="G136:G140" si="38">"男"</f>
        <v>男</v>
      </c>
      <c r="H136" s="6" t="str">
        <f>"1988-05-17"</f>
        <v>1988-05-17</v>
      </c>
      <c r="I136" s="6"/>
    </row>
    <row r="137" s="1" customFormat="1" ht="30" customHeight="1" spans="1:9">
      <c r="A137" s="6">
        <v>135</v>
      </c>
      <c r="B137" s="6" t="str">
        <f>"48712023020113171415357"</f>
        <v>48712023020113171415357</v>
      </c>
      <c r="C137" s="6" t="str">
        <f t="shared" si="37"/>
        <v>0101</v>
      </c>
      <c r="D137" s="6" t="s">
        <v>10</v>
      </c>
      <c r="E137" s="6" t="s">
        <v>11</v>
      </c>
      <c r="F137" s="6" t="str">
        <f>"黎经仁"</f>
        <v>黎经仁</v>
      </c>
      <c r="G137" s="6" t="str">
        <f t="shared" si="38"/>
        <v>男</v>
      </c>
      <c r="H137" s="6" t="str">
        <f>"1998-01-03"</f>
        <v>1998-01-03</v>
      </c>
      <c r="I137" s="6"/>
    </row>
    <row r="138" s="1" customFormat="1" ht="30" customHeight="1" spans="1:9">
      <c r="A138" s="6">
        <v>136</v>
      </c>
      <c r="B138" s="6" t="str">
        <f>"48712023020114451215705"</f>
        <v>48712023020114451215705</v>
      </c>
      <c r="C138" s="6" t="str">
        <f t="shared" si="37"/>
        <v>0101</v>
      </c>
      <c r="D138" s="6" t="s">
        <v>10</v>
      </c>
      <c r="E138" s="6" t="s">
        <v>11</v>
      </c>
      <c r="F138" s="6" t="str">
        <f>"何俏"</f>
        <v>何俏</v>
      </c>
      <c r="G138" s="6" t="str">
        <f t="shared" ref="G138:G141" si="39">"女"</f>
        <v>女</v>
      </c>
      <c r="H138" s="6" t="str">
        <f>"1990-08-12"</f>
        <v>1990-08-12</v>
      </c>
      <c r="I138" s="6"/>
    </row>
    <row r="139" s="1" customFormat="1" ht="30" customHeight="1" spans="1:9">
      <c r="A139" s="6">
        <v>137</v>
      </c>
      <c r="B139" s="6" t="str">
        <f>"48712023020114452415707"</f>
        <v>48712023020114452415707</v>
      </c>
      <c r="C139" s="6" t="str">
        <f t="shared" si="37"/>
        <v>0101</v>
      </c>
      <c r="D139" s="6" t="s">
        <v>10</v>
      </c>
      <c r="E139" s="6" t="s">
        <v>11</v>
      </c>
      <c r="F139" s="6" t="str">
        <f>"徐令娴"</f>
        <v>徐令娴</v>
      </c>
      <c r="G139" s="6" t="str">
        <f t="shared" si="39"/>
        <v>女</v>
      </c>
      <c r="H139" s="6" t="str">
        <f>"1998-01-13"</f>
        <v>1998-01-13</v>
      </c>
      <c r="I139" s="6"/>
    </row>
    <row r="140" s="1" customFormat="1" ht="30" customHeight="1" spans="1:9">
      <c r="A140" s="6">
        <v>138</v>
      </c>
      <c r="B140" s="6" t="str">
        <f>"48712023020114564615756"</f>
        <v>48712023020114564615756</v>
      </c>
      <c r="C140" s="6" t="str">
        <f t="shared" si="37"/>
        <v>0101</v>
      </c>
      <c r="D140" s="6" t="s">
        <v>10</v>
      </c>
      <c r="E140" s="6" t="s">
        <v>11</v>
      </c>
      <c r="F140" s="6" t="str">
        <f>"章凡"</f>
        <v>章凡</v>
      </c>
      <c r="G140" s="6" t="str">
        <f t="shared" si="38"/>
        <v>男</v>
      </c>
      <c r="H140" s="6" t="str">
        <f>"1992-10-26"</f>
        <v>1992-10-26</v>
      </c>
      <c r="I140" s="6"/>
    </row>
    <row r="141" s="1" customFormat="1" ht="30" customHeight="1" spans="1:9">
      <c r="A141" s="6">
        <v>139</v>
      </c>
      <c r="B141" s="6" t="str">
        <f>"48712023020115125515818"</f>
        <v>48712023020115125515818</v>
      </c>
      <c r="C141" s="6" t="str">
        <f t="shared" si="37"/>
        <v>0101</v>
      </c>
      <c r="D141" s="6" t="s">
        <v>10</v>
      </c>
      <c r="E141" s="6" t="s">
        <v>11</v>
      </c>
      <c r="F141" s="6" t="str">
        <f>"李华亮"</f>
        <v>李华亮</v>
      </c>
      <c r="G141" s="6" t="str">
        <f t="shared" si="39"/>
        <v>女</v>
      </c>
      <c r="H141" s="6" t="str">
        <f>"1997-06-09"</f>
        <v>1997-06-09</v>
      </c>
      <c r="I141" s="6"/>
    </row>
    <row r="142" s="1" customFormat="1" ht="30" customHeight="1" spans="1:9">
      <c r="A142" s="6">
        <v>140</v>
      </c>
      <c r="B142" s="6" t="str">
        <f>"48712023020115561915993"</f>
        <v>48712023020115561915993</v>
      </c>
      <c r="C142" s="6" t="str">
        <f t="shared" si="37"/>
        <v>0101</v>
      </c>
      <c r="D142" s="6" t="s">
        <v>10</v>
      </c>
      <c r="E142" s="6" t="s">
        <v>11</v>
      </c>
      <c r="F142" s="6" t="str">
        <f>"符开豪"</f>
        <v>符开豪</v>
      </c>
      <c r="G142" s="6" t="str">
        <f>"男"</f>
        <v>男</v>
      </c>
      <c r="H142" s="6" t="str">
        <f>"1999-05-06"</f>
        <v>1999-05-06</v>
      </c>
      <c r="I142" s="6"/>
    </row>
    <row r="143" s="1" customFormat="1" ht="30" customHeight="1" spans="1:9">
      <c r="A143" s="6">
        <v>141</v>
      </c>
      <c r="B143" s="6" t="str">
        <f>"48712023020116051816026"</f>
        <v>48712023020116051816026</v>
      </c>
      <c r="C143" s="6" t="str">
        <f t="shared" si="37"/>
        <v>0101</v>
      </c>
      <c r="D143" s="6" t="s">
        <v>10</v>
      </c>
      <c r="E143" s="6" t="s">
        <v>11</v>
      </c>
      <c r="F143" s="6" t="str">
        <f>"王凯"</f>
        <v>王凯</v>
      </c>
      <c r="G143" s="6" t="str">
        <f>"男"</f>
        <v>男</v>
      </c>
      <c r="H143" s="6" t="str">
        <f>"1999-10-05"</f>
        <v>1999-10-05</v>
      </c>
      <c r="I143" s="6"/>
    </row>
    <row r="144" s="1" customFormat="1" ht="30" customHeight="1" spans="1:9">
      <c r="A144" s="6">
        <v>142</v>
      </c>
      <c r="B144" s="6" t="str">
        <f>"48712023020117331816348"</f>
        <v>48712023020117331816348</v>
      </c>
      <c r="C144" s="6" t="str">
        <f t="shared" si="37"/>
        <v>0101</v>
      </c>
      <c r="D144" s="6" t="s">
        <v>10</v>
      </c>
      <c r="E144" s="6" t="s">
        <v>11</v>
      </c>
      <c r="F144" s="6" t="str">
        <f>"王晓娜"</f>
        <v>王晓娜</v>
      </c>
      <c r="G144" s="6" t="str">
        <f t="shared" ref="G144:G147" si="40">"女"</f>
        <v>女</v>
      </c>
      <c r="H144" s="6" t="str">
        <f>"1993-02-05"</f>
        <v>1993-02-05</v>
      </c>
      <c r="I144" s="6"/>
    </row>
    <row r="145" s="1" customFormat="1" ht="30" customHeight="1" spans="1:9">
      <c r="A145" s="6">
        <v>143</v>
      </c>
      <c r="B145" s="6" t="str">
        <f>"48712023020117334516349"</f>
        <v>48712023020117334516349</v>
      </c>
      <c r="C145" s="6" t="str">
        <f t="shared" si="37"/>
        <v>0101</v>
      </c>
      <c r="D145" s="6" t="s">
        <v>10</v>
      </c>
      <c r="E145" s="6" t="s">
        <v>11</v>
      </c>
      <c r="F145" s="6" t="str">
        <f>"符慧娴"</f>
        <v>符慧娴</v>
      </c>
      <c r="G145" s="6" t="str">
        <f t="shared" si="40"/>
        <v>女</v>
      </c>
      <c r="H145" s="6" t="str">
        <f>"1998-09-04"</f>
        <v>1998-09-04</v>
      </c>
      <c r="I145" s="6"/>
    </row>
    <row r="146" s="1" customFormat="1" ht="30" customHeight="1" spans="1:9">
      <c r="A146" s="6">
        <v>144</v>
      </c>
      <c r="B146" s="6" t="str">
        <f>"48712023020117581216426"</f>
        <v>48712023020117581216426</v>
      </c>
      <c r="C146" s="6" t="str">
        <f t="shared" si="37"/>
        <v>0101</v>
      </c>
      <c r="D146" s="6" t="s">
        <v>10</v>
      </c>
      <c r="E146" s="6" t="s">
        <v>11</v>
      </c>
      <c r="F146" s="6" t="str">
        <f>"孙雅静"</f>
        <v>孙雅静</v>
      </c>
      <c r="G146" s="6" t="str">
        <f t="shared" si="40"/>
        <v>女</v>
      </c>
      <c r="H146" s="6" t="str">
        <f>"1997-03-21"</f>
        <v>1997-03-21</v>
      </c>
      <c r="I146" s="6"/>
    </row>
    <row r="147" s="1" customFormat="1" ht="30" customHeight="1" spans="1:9">
      <c r="A147" s="6">
        <v>145</v>
      </c>
      <c r="B147" s="6" t="str">
        <f>"48712023020118083916450"</f>
        <v>48712023020118083916450</v>
      </c>
      <c r="C147" s="6" t="str">
        <f t="shared" si="37"/>
        <v>0101</v>
      </c>
      <c r="D147" s="6" t="s">
        <v>10</v>
      </c>
      <c r="E147" s="6" t="s">
        <v>11</v>
      </c>
      <c r="F147" s="6" t="str">
        <f>"陈静"</f>
        <v>陈静</v>
      </c>
      <c r="G147" s="6" t="str">
        <f t="shared" si="40"/>
        <v>女</v>
      </c>
      <c r="H147" s="6" t="str">
        <f>"1995-11-10"</f>
        <v>1995-11-10</v>
      </c>
      <c r="I147" s="6"/>
    </row>
    <row r="148" s="1" customFormat="1" ht="30" customHeight="1" spans="1:9">
      <c r="A148" s="6">
        <v>146</v>
      </c>
      <c r="B148" s="6" t="str">
        <f>"48712023020121324617011"</f>
        <v>48712023020121324617011</v>
      </c>
      <c r="C148" s="6" t="str">
        <f t="shared" si="37"/>
        <v>0101</v>
      </c>
      <c r="D148" s="6" t="s">
        <v>10</v>
      </c>
      <c r="E148" s="6" t="s">
        <v>11</v>
      </c>
      <c r="F148" s="6" t="str">
        <f>"林惠斌"</f>
        <v>林惠斌</v>
      </c>
      <c r="G148" s="6" t="str">
        <f t="shared" ref="G148:G151" si="41">"男"</f>
        <v>男</v>
      </c>
      <c r="H148" s="6" t="str">
        <f>"1993-11-15"</f>
        <v>1993-11-15</v>
      </c>
      <c r="I148" s="6"/>
    </row>
    <row r="149" s="1" customFormat="1" ht="30" customHeight="1" spans="1:9">
      <c r="A149" s="6">
        <v>147</v>
      </c>
      <c r="B149" s="6" t="str">
        <f>"48712023020121572217084"</f>
        <v>48712023020121572217084</v>
      </c>
      <c r="C149" s="6" t="str">
        <f t="shared" si="37"/>
        <v>0101</v>
      </c>
      <c r="D149" s="6" t="s">
        <v>10</v>
      </c>
      <c r="E149" s="6" t="s">
        <v>11</v>
      </c>
      <c r="F149" s="6" t="str">
        <f>"黄翔"</f>
        <v>黄翔</v>
      </c>
      <c r="G149" s="6" t="str">
        <f t="shared" si="41"/>
        <v>男</v>
      </c>
      <c r="H149" s="6" t="str">
        <f>"1997-09-28"</f>
        <v>1997-09-28</v>
      </c>
      <c r="I149" s="6"/>
    </row>
    <row r="150" s="1" customFormat="1" ht="30" customHeight="1" spans="1:9">
      <c r="A150" s="6">
        <v>148</v>
      </c>
      <c r="B150" s="6" t="str">
        <f>"48712023020122040117111"</f>
        <v>48712023020122040117111</v>
      </c>
      <c r="C150" s="6" t="str">
        <f t="shared" si="37"/>
        <v>0101</v>
      </c>
      <c r="D150" s="6" t="s">
        <v>10</v>
      </c>
      <c r="E150" s="6" t="s">
        <v>11</v>
      </c>
      <c r="F150" s="6" t="str">
        <f>"冯元哲"</f>
        <v>冯元哲</v>
      </c>
      <c r="G150" s="6" t="str">
        <f t="shared" ref="G150:G153" si="42">"女"</f>
        <v>女</v>
      </c>
      <c r="H150" s="6" t="str">
        <f>"1999-04-21"</f>
        <v>1999-04-21</v>
      </c>
      <c r="I150" s="6"/>
    </row>
    <row r="151" s="1" customFormat="1" ht="30" customHeight="1" spans="1:9">
      <c r="A151" s="6">
        <v>149</v>
      </c>
      <c r="B151" s="6" t="str">
        <f>"48712023020122292217188"</f>
        <v>48712023020122292217188</v>
      </c>
      <c r="C151" s="6" t="str">
        <f t="shared" si="37"/>
        <v>0101</v>
      </c>
      <c r="D151" s="6" t="s">
        <v>10</v>
      </c>
      <c r="E151" s="6" t="s">
        <v>11</v>
      </c>
      <c r="F151" s="6" t="str">
        <f>"林政"</f>
        <v>林政</v>
      </c>
      <c r="G151" s="6" t="str">
        <f t="shared" si="41"/>
        <v>男</v>
      </c>
      <c r="H151" s="6" t="str">
        <f>"2000-01-08"</f>
        <v>2000-01-08</v>
      </c>
      <c r="I151" s="6"/>
    </row>
    <row r="152" s="1" customFormat="1" ht="30" customHeight="1" spans="1:9">
      <c r="A152" s="6">
        <v>150</v>
      </c>
      <c r="B152" s="6" t="str">
        <f>"48712023020122445717225"</f>
        <v>48712023020122445717225</v>
      </c>
      <c r="C152" s="6" t="str">
        <f t="shared" si="37"/>
        <v>0101</v>
      </c>
      <c r="D152" s="6" t="s">
        <v>10</v>
      </c>
      <c r="E152" s="6" t="s">
        <v>11</v>
      </c>
      <c r="F152" s="6" t="str">
        <f>"翁韵如"</f>
        <v>翁韵如</v>
      </c>
      <c r="G152" s="6" t="str">
        <f t="shared" si="42"/>
        <v>女</v>
      </c>
      <c r="H152" s="6" t="str">
        <f>"2000-06-22"</f>
        <v>2000-06-22</v>
      </c>
      <c r="I152" s="6"/>
    </row>
    <row r="153" s="1" customFormat="1" ht="30" customHeight="1" spans="1:9">
      <c r="A153" s="6">
        <v>151</v>
      </c>
      <c r="B153" s="6" t="str">
        <f>"48712023020123092117278"</f>
        <v>48712023020123092117278</v>
      </c>
      <c r="C153" s="6" t="str">
        <f t="shared" si="37"/>
        <v>0101</v>
      </c>
      <c r="D153" s="6" t="s">
        <v>10</v>
      </c>
      <c r="E153" s="6" t="s">
        <v>11</v>
      </c>
      <c r="F153" s="6" t="str">
        <f>"汪芝蓉"</f>
        <v>汪芝蓉</v>
      </c>
      <c r="G153" s="6" t="str">
        <f t="shared" si="42"/>
        <v>女</v>
      </c>
      <c r="H153" s="6" t="str">
        <f>"1992-03-10"</f>
        <v>1992-03-10</v>
      </c>
      <c r="I153" s="6"/>
    </row>
    <row r="154" s="1" customFormat="1" ht="30" customHeight="1" spans="1:9">
      <c r="A154" s="6">
        <v>152</v>
      </c>
      <c r="B154" s="6" t="str">
        <f>"48712023020200524717411"</f>
        <v>48712023020200524717411</v>
      </c>
      <c r="C154" s="6" t="str">
        <f t="shared" si="37"/>
        <v>0101</v>
      </c>
      <c r="D154" s="6" t="s">
        <v>10</v>
      </c>
      <c r="E154" s="6" t="s">
        <v>11</v>
      </c>
      <c r="F154" s="6" t="str">
        <f>"苏致刚"</f>
        <v>苏致刚</v>
      </c>
      <c r="G154" s="6" t="str">
        <f t="shared" ref="G154:G158" si="43">"男"</f>
        <v>男</v>
      </c>
      <c r="H154" s="6" t="str">
        <f>"1996-09-30"</f>
        <v>1996-09-30</v>
      </c>
      <c r="I154" s="6"/>
    </row>
    <row r="155" s="1" customFormat="1" ht="30" customHeight="1" spans="1:9">
      <c r="A155" s="6">
        <v>153</v>
      </c>
      <c r="B155" s="6" t="str">
        <f>"48712023020208385617473"</f>
        <v>48712023020208385617473</v>
      </c>
      <c r="C155" s="6" t="str">
        <f t="shared" si="37"/>
        <v>0101</v>
      </c>
      <c r="D155" s="6" t="s">
        <v>10</v>
      </c>
      <c r="E155" s="6" t="s">
        <v>11</v>
      </c>
      <c r="F155" s="6" t="str">
        <f>"陈嘉庚"</f>
        <v>陈嘉庚</v>
      </c>
      <c r="G155" s="6" t="str">
        <f t="shared" si="43"/>
        <v>男</v>
      </c>
      <c r="H155" s="6" t="str">
        <f>"1990-09-04"</f>
        <v>1990-09-04</v>
      </c>
      <c r="I155" s="6"/>
    </row>
    <row r="156" s="1" customFormat="1" ht="30" customHeight="1" spans="1:9">
      <c r="A156" s="6">
        <v>154</v>
      </c>
      <c r="B156" s="6" t="str">
        <f>"48712023020209145717524"</f>
        <v>48712023020209145717524</v>
      </c>
      <c r="C156" s="6" t="str">
        <f t="shared" si="37"/>
        <v>0101</v>
      </c>
      <c r="D156" s="6" t="s">
        <v>10</v>
      </c>
      <c r="E156" s="6" t="s">
        <v>11</v>
      </c>
      <c r="F156" s="6" t="str">
        <f>"陈瑾"</f>
        <v>陈瑾</v>
      </c>
      <c r="G156" s="6" t="str">
        <f t="shared" ref="G156:G160" si="44">"女"</f>
        <v>女</v>
      </c>
      <c r="H156" s="6" t="str">
        <f>"1993-10-06"</f>
        <v>1993-10-06</v>
      </c>
      <c r="I156" s="6"/>
    </row>
    <row r="157" s="1" customFormat="1" ht="30" customHeight="1" spans="1:9">
      <c r="A157" s="6">
        <v>155</v>
      </c>
      <c r="B157" s="6" t="str">
        <f>"48712023020209194817531"</f>
        <v>48712023020209194817531</v>
      </c>
      <c r="C157" s="6" t="str">
        <f t="shared" si="37"/>
        <v>0101</v>
      </c>
      <c r="D157" s="6" t="s">
        <v>10</v>
      </c>
      <c r="E157" s="6" t="s">
        <v>11</v>
      </c>
      <c r="F157" s="6" t="str">
        <f>"陈于寿"</f>
        <v>陈于寿</v>
      </c>
      <c r="G157" s="6" t="str">
        <f t="shared" si="43"/>
        <v>男</v>
      </c>
      <c r="H157" s="6" t="str">
        <f>"1999-07-16"</f>
        <v>1999-07-16</v>
      </c>
      <c r="I157" s="6"/>
    </row>
    <row r="158" s="1" customFormat="1" ht="30" customHeight="1" spans="1:9">
      <c r="A158" s="6">
        <v>156</v>
      </c>
      <c r="B158" s="6" t="str">
        <f>"48712023020209443917587"</f>
        <v>48712023020209443917587</v>
      </c>
      <c r="C158" s="6" t="str">
        <f t="shared" si="37"/>
        <v>0101</v>
      </c>
      <c r="D158" s="6" t="s">
        <v>10</v>
      </c>
      <c r="E158" s="6" t="s">
        <v>11</v>
      </c>
      <c r="F158" s="6" t="str">
        <f>"黎石王"</f>
        <v>黎石王</v>
      </c>
      <c r="G158" s="6" t="str">
        <f t="shared" si="43"/>
        <v>男</v>
      </c>
      <c r="H158" s="6" t="str">
        <f>"1988-01-19"</f>
        <v>1988-01-19</v>
      </c>
      <c r="I158" s="6"/>
    </row>
    <row r="159" s="1" customFormat="1" ht="30" customHeight="1" spans="1:9">
      <c r="A159" s="6">
        <v>157</v>
      </c>
      <c r="B159" s="6" t="str">
        <f>"48712023020210410017772"</f>
        <v>48712023020210410017772</v>
      </c>
      <c r="C159" s="6" t="str">
        <f t="shared" si="37"/>
        <v>0101</v>
      </c>
      <c r="D159" s="6" t="s">
        <v>10</v>
      </c>
      <c r="E159" s="6" t="s">
        <v>11</v>
      </c>
      <c r="F159" s="6" t="str">
        <f>"郑越"</f>
        <v>郑越</v>
      </c>
      <c r="G159" s="6" t="str">
        <f t="shared" si="44"/>
        <v>女</v>
      </c>
      <c r="H159" s="6" t="str">
        <f>"1993-03-16"</f>
        <v>1993-03-16</v>
      </c>
      <c r="I159" s="6"/>
    </row>
    <row r="160" s="1" customFormat="1" ht="30" customHeight="1" spans="1:9">
      <c r="A160" s="6">
        <v>158</v>
      </c>
      <c r="B160" s="6" t="str">
        <f>"48712023020210471117795"</f>
        <v>48712023020210471117795</v>
      </c>
      <c r="C160" s="6" t="str">
        <f t="shared" si="37"/>
        <v>0101</v>
      </c>
      <c r="D160" s="6" t="s">
        <v>10</v>
      </c>
      <c r="E160" s="6" t="s">
        <v>11</v>
      </c>
      <c r="F160" s="6" t="str">
        <f>"黄慧鑫"</f>
        <v>黄慧鑫</v>
      </c>
      <c r="G160" s="6" t="str">
        <f t="shared" si="44"/>
        <v>女</v>
      </c>
      <c r="H160" s="6" t="str">
        <f>"1998-04-10"</f>
        <v>1998-04-10</v>
      </c>
      <c r="I160" s="6"/>
    </row>
    <row r="161" s="1" customFormat="1" ht="30" customHeight="1" spans="1:9">
      <c r="A161" s="6">
        <v>159</v>
      </c>
      <c r="B161" s="6" t="str">
        <f>"48712023020210481917797"</f>
        <v>48712023020210481917797</v>
      </c>
      <c r="C161" s="6" t="str">
        <f t="shared" si="37"/>
        <v>0101</v>
      </c>
      <c r="D161" s="6" t="s">
        <v>10</v>
      </c>
      <c r="E161" s="6" t="s">
        <v>11</v>
      </c>
      <c r="F161" s="6" t="str">
        <f>"唐任英"</f>
        <v>唐任英</v>
      </c>
      <c r="G161" s="6" t="str">
        <f t="shared" ref="G161:G166" si="45">"男"</f>
        <v>男</v>
      </c>
      <c r="H161" s="6" t="str">
        <f>"1993-07-07"</f>
        <v>1993-07-07</v>
      </c>
      <c r="I161" s="6"/>
    </row>
    <row r="162" s="1" customFormat="1" ht="30" customHeight="1" spans="1:9">
      <c r="A162" s="6">
        <v>160</v>
      </c>
      <c r="B162" s="6" t="str">
        <f>"48712023020211103017867"</f>
        <v>48712023020211103017867</v>
      </c>
      <c r="C162" s="6" t="str">
        <f t="shared" si="37"/>
        <v>0101</v>
      </c>
      <c r="D162" s="6" t="s">
        <v>10</v>
      </c>
      <c r="E162" s="6" t="s">
        <v>11</v>
      </c>
      <c r="F162" s="6" t="str">
        <f>"叶彦君"</f>
        <v>叶彦君</v>
      </c>
      <c r="G162" s="6" t="str">
        <f t="shared" ref="G162:G169" si="46">"女"</f>
        <v>女</v>
      </c>
      <c r="H162" s="6" t="str">
        <f>"1995-08-02"</f>
        <v>1995-08-02</v>
      </c>
      <c r="I162" s="6"/>
    </row>
    <row r="163" s="1" customFormat="1" ht="30" customHeight="1" spans="1:9">
      <c r="A163" s="6">
        <v>161</v>
      </c>
      <c r="B163" s="6" t="str">
        <f>"48712023020211172417898"</f>
        <v>48712023020211172417898</v>
      </c>
      <c r="C163" s="6" t="str">
        <f t="shared" si="37"/>
        <v>0101</v>
      </c>
      <c r="D163" s="6" t="s">
        <v>10</v>
      </c>
      <c r="E163" s="6" t="s">
        <v>11</v>
      </c>
      <c r="F163" s="6" t="str">
        <f>"黎瑞帅"</f>
        <v>黎瑞帅</v>
      </c>
      <c r="G163" s="6" t="str">
        <f t="shared" si="45"/>
        <v>男</v>
      </c>
      <c r="H163" s="6" t="str">
        <f>"1991-08-19"</f>
        <v>1991-08-19</v>
      </c>
      <c r="I163" s="6"/>
    </row>
    <row r="164" s="1" customFormat="1" ht="30" customHeight="1" spans="1:9">
      <c r="A164" s="6">
        <v>162</v>
      </c>
      <c r="B164" s="6" t="str">
        <f>"48712023020211230617923"</f>
        <v>48712023020211230617923</v>
      </c>
      <c r="C164" s="6" t="str">
        <f t="shared" si="37"/>
        <v>0101</v>
      </c>
      <c r="D164" s="6" t="s">
        <v>10</v>
      </c>
      <c r="E164" s="6" t="s">
        <v>11</v>
      </c>
      <c r="F164" s="6" t="str">
        <f>"蔡亦秋"</f>
        <v>蔡亦秋</v>
      </c>
      <c r="G164" s="6" t="str">
        <f t="shared" si="46"/>
        <v>女</v>
      </c>
      <c r="H164" s="6" t="str">
        <f>"1995-12-11"</f>
        <v>1995-12-11</v>
      </c>
      <c r="I164" s="6"/>
    </row>
    <row r="165" s="1" customFormat="1" ht="30" customHeight="1" spans="1:9">
      <c r="A165" s="6">
        <v>163</v>
      </c>
      <c r="B165" s="6" t="str">
        <f>"48712023020211442117996"</f>
        <v>48712023020211442117996</v>
      </c>
      <c r="C165" s="6" t="str">
        <f t="shared" si="37"/>
        <v>0101</v>
      </c>
      <c r="D165" s="6" t="s">
        <v>10</v>
      </c>
      <c r="E165" s="6" t="s">
        <v>11</v>
      </c>
      <c r="F165" s="6" t="str">
        <f>"潘志强"</f>
        <v>潘志强</v>
      </c>
      <c r="G165" s="6" t="str">
        <f t="shared" si="45"/>
        <v>男</v>
      </c>
      <c r="H165" s="6" t="str">
        <f>"1994-06-08"</f>
        <v>1994-06-08</v>
      </c>
      <c r="I165" s="6"/>
    </row>
    <row r="166" s="1" customFormat="1" ht="30" customHeight="1" spans="1:9">
      <c r="A166" s="6">
        <v>164</v>
      </c>
      <c r="B166" s="6" t="str">
        <f>"48712023020211495718010"</f>
        <v>48712023020211495718010</v>
      </c>
      <c r="C166" s="6" t="str">
        <f t="shared" si="37"/>
        <v>0101</v>
      </c>
      <c r="D166" s="6" t="s">
        <v>10</v>
      </c>
      <c r="E166" s="6" t="s">
        <v>11</v>
      </c>
      <c r="F166" s="6" t="str">
        <f>"钟海"</f>
        <v>钟海</v>
      </c>
      <c r="G166" s="6" t="str">
        <f t="shared" si="45"/>
        <v>男</v>
      </c>
      <c r="H166" s="6" t="str">
        <f>"1992-05-19"</f>
        <v>1992-05-19</v>
      </c>
      <c r="I166" s="6"/>
    </row>
    <row r="167" s="1" customFormat="1" ht="30" customHeight="1" spans="1:9">
      <c r="A167" s="6">
        <v>165</v>
      </c>
      <c r="B167" s="6" t="str">
        <f>"48712023020212035218042"</f>
        <v>48712023020212035218042</v>
      </c>
      <c r="C167" s="6" t="str">
        <f t="shared" si="37"/>
        <v>0101</v>
      </c>
      <c r="D167" s="6" t="s">
        <v>10</v>
      </c>
      <c r="E167" s="6" t="s">
        <v>11</v>
      </c>
      <c r="F167" s="6" t="str">
        <f>"林玉娴"</f>
        <v>林玉娴</v>
      </c>
      <c r="G167" s="6" t="str">
        <f t="shared" si="46"/>
        <v>女</v>
      </c>
      <c r="H167" s="6" t="str">
        <f>"1998-11-05"</f>
        <v>1998-11-05</v>
      </c>
      <c r="I167" s="6"/>
    </row>
    <row r="168" s="1" customFormat="1" ht="30" customHeight="1" spans="1:9">
      <c r="A168" s="6">
        <v>166</v>
      </c>
      <c r="B168" s="6" t="str">
        <f>"48712023020213393118225"</f>
        <v>48712023020213393118225</v>
      </c>
      <c r="C168" s="6" t="str">
        <f t="shared" si="37"/>
        <v>0101</v>
      </c>
      <c r="D168" s="6" t="s">
        <v>10</v>
      </c>
      <c r="E168" s="6" t="s">
        <v>11</v>
      </c>
      <c r="F168" s="6" t="str">
        <f>"孙晔东"</f>
        <v>孙晔东</v>
      </c>
      <c r="G168" s="6" t="str">
        <f t="shared" si="46"/>
        <v>女</v>
      </c>
      <c r="H168" s="6" t="str">
        <f>"1991-01-04"</f>
        <v>1991-01-04</v>
      </c>
      <c r="I168" s="6"/>
    </row>
    <row r="169" s="1" customFormat="1" ht="30" customHeight="1" spans="1:9">
      <c r="A169" s="6">
        <v>167</v>
      </c>
      <c r="B169" s="6" t="str">
        <f>"48712023020214293718338"</f>
        <v>48712023020214293718338</v>
      </c>
      <c r="C169" s="6" t="str">
        <f t="shared" si="37"/>
        <v>0101</v>
      </c>
      <c r="D169" s="6" t="s">
        <v>10</v>
      </c>
      <c r="E169" s="6" t="s">
        <v>11</v>
      </c>
      <c r="F169" s="6" t="str">
        <f>"王云芳"</f>
        <v>王云芳</v>
      </c>
      <c r="G169" s="6" t="str">
        <f t="shared" si="46"/>
        <v>女</v>
      </c>
      <c r="H169" s="6" t="str">
        <f>"1993-07-20"</f>
        <v>1993-07-20</v>
      </c>
      <c r="I169" s="6"/>
    </row>
    <row r="170" s="1" customFormat="1" ht="30" customHeight="1" spans="1:9">
      <c r="A170" s="6">
        <v>168</v>
      </c>
      <c r="B170" s="6" t="str">
        <f>"48712023020214510918396"</f>
        <v>48712023020214510918396</v>
      </c>
      <c r="C170" s="6" t="str">
        <f t="shared" si="37"/>
        <v>0101</v>
      </c>
      <c r="D170" s="6" t="s">
        <v>10</v>
      </c>
      <c r="E170" s="6" t="s">
        <v>11</v>
      </c>
      <c r="F170" s="6" t="str">
        <f>"邢润"</f>
        <v>邢润</v>
      </c>
      <c r="G170" s="6" t="str">
        <f>"男"</f>
        <v>男</v>
      </c>
      <c r="H170" s="6" t="str">
        <f>"1995-10-22"</f>
        <v>1995-10-22</v>
      </c>
      <c r="I170" s="6"/>
    </row>
    <row r="171" s="1" customFormat="1" ht="30" customHeight="1" spans="1:9">
      <c r="A171" s="6">
        <v>169</v>
      </c>
      <c r="B171" s="6" t="str">
        <f>"48712023020215041118434"</f>
        <v>48712023020215041118434</v>
      </c>
      <c r="C171" s="6" t="str">
        <f t="shared" si="37"/>
        <v>0101</v>
      </c>
      <c r="D171" s="6" t="s">
        <v>10</v>
      </c>
      <c r="E171" s="6" t="s">
        <v>11</v>
      </c>
      <c r="F171" s="6" t="str">
        <f>"林诗颖"</f>
        <v>林诗颖</v>
      </c>
      <c r="G171" s="6" t="str">
        <f t="shared" ref="G171:G173" si="47">"女"</f>
        <v>女</v>
      </c>
      <c r="H171" s="6" t="str">
        <f>"2000-04-27"</f>
        <v>2000-04-27</v>
      </c>
      <c r="I171" s="6"/>
    </row>
    <row r="172" s="1" customFormat="1" ht="30" customHeight="1" spans="1:9">
      <c r="A172" s="6">
        <v>170</v>
      </c>
      <c r="B172" s="6" t="str">
        <f>"48712023020215361318519"</f>
        <v>48712023020215361318519</v>
      </c>
      <c r="C172" s="6" t="str">
        <f t="shared" si="37"/>
        <v>0101</v>
      </c>
      <c r="D172" s="6" t="s">
        <v>10</v>
      </c>
      <c r="E172" s="6" t="s">
        <v>11</v>
      </c>
      <c r="F172" s="6" t="str">
        <f>"王娟"</f>
        <v>王娟</v>
      </c>
      <c r="G172" s="6" t="str">
        <f t="shared" si="47"/>
        <v>女</v>
      </c>
      <c r="H172" s="6" t="str">
        <f>"1992-04-13"</f>
        <v>1992-04-13</v>
      </c>
      <c r="I172" s="6"/>
    </row>
    <row r="173" s="1" customFormat="1" ht="30" customHeight="1" spans="1:9">
      <c r="A173" s="6">
        <v>171</v>
      </c>
      <c r="B173" s="6" t="str">
        <f>"48712023020215372618524"</f>
        <v>48712023020215372618524</v>
      </c>
      <c r="C173" s="6" t="str">
        <f t="shared" si="37"/>
        <v>0101</v>
      </c>
      <c r="D173" s="6" t="s">
        <v>10</v>
      </c>
      <c r="E173" s="6" t="s">
        <v>11</v>
      </c>
      <c r="F173" s="6" t="str">
        <f>"张芷祯"</f>
        <v>张芷祯</v>
      </c>
      <c r="G173" s="6" t="str">
        <f t="shared" si="47"/>
        <v>女</v>
      </c>
      <c r="H173" s="6" t="str">
        <f>"1997-01-16"</f>
        <v>1997-01-16</v>
      </c>
      <c r="I173" s="6"/>
    </row>
    <row r="174" s="1" customFormat="1" ht="30" customHeight="1" spans="1:9">
      <c r="A174" s="6">
        <v>172</v>
      </c>
      <c r="B174" s="6" t="str">
        <f>"48712023020215410018539"</f>
        <v>48712023020215410018539</v>
      </c>
      <c r="C174" s="6" t="str">
        <f t="shared" si="37"/>
        <v>0101</v>
      </c>
      <c r="D174" s="6" t="s">
        <v>10</v>
      </c>
      <c r="E174" s="6" t="s">
        <v>11</v>
      </c>
      <c r="F174" s="6" t="str">
        <f>"黄敏"</f>
        <v>黄敏</v>
      </c>
      <c r="G174" s="6" t="str">
        <f t="shared" ref="G174:G179" si="48">"男"</f>
        <v>男</v>
      </c>
      <c r="H174" s="6" t="str">
        <f>"1990-08-02"</f>
        <v>1990-08-02</v>
      </c>
      <c r="I174" s="6"/>
    </row>
    <row r="175" s="1" customFormat="1" ht="30" customHeight="1" spans="1:9">
      <c r="A175" s="6">
        <v>173</v>
      </c>
      <c r="B175" s="6" t="str">
        <f>"48712023020216274118666"</f>
        <v>48712023020216274118666</v>
      </c>
      <c r="C175" s="6" t="str">
        <f t="shared" si="37"/>
        <v>0101</v>
      </c>
      <c r="D175" s="6" t="s">
        <v>10</v>
      </c>
      <c r="E175" s="6" t="s">
        <v>11</v>
      </c>
      <c r="F175" s="6" t="str">
        <f>"武倩"</f>
        <v>武倩</v>
      </c>
      <c r="G175" s="6" t="str">
        <f t="shared" ref="G175:G178" si="49">"女"</f>
        <v>女</v>
      </c>
      <c r="H175" s="6" t="str">
        <f>"1995-08-19"</f>
        <v>1995-08-19</v>
      </c>
      <c r="I175" s="6"/>
    </row>
    <row r="176" s="1" customFormat="1" ht="30" customHeight="1" spans="1:9">
      <c r="A176" s="6">
        <v>174</v>
      </c>
      <c r="B176" s="6" t="str">
        <f>"48712023020216404918698"</f>
        <v>48712023020216404918698</v>
      </c>
      <c r="C176" s="6" t="str">
        <f t="shared" si="37"/>
        <v>0101</v>
      </c>
      <c r="D176" s="6" t="s">
        <v>10</v>
      </c>
      <c r="E176" s="6" t="s">
        <v>11</v>
      </c>
      <c r="F176" s="6" t="str">
        <f>"严江贝"</f>
        <v>严江贝</v>
      </c>
      <c r="G176" s="6" t="str">
        <f t="shared" si="48"/>
        <v>男</v>
      </c>
      <c r="H176" s="6" t="str">
        <f>"1990-03-14"</f>
        <v>1990-03-14</v>
      </c>
      <c r="I176" s="6"/>
    </row>
    <row r="177" s="1" customFormat="1" ht="30" customHeight="1" spans="1:9">
      <c r="A177" s="6">
        <v>175</v>
      </c>
      <c r="B177" s="6" t="str">
        <f>"48712023020217180118794"</f>
        <v>48712023020217180118794</v>
      </c>
      <c r="C177" s="6" t="str">
        <f t="shared" si="37"/>
        <v>0101</v>
      </c>
      <c r="D177" s="6" t="s">
        <v>10</v>
      </c>
      <c r="E177" s="6" t="s">
        <v>11</v>
      </c>
      <c r="F177" s="6" t="str">
        <f>"张倩怡"</f>
        <v>张倩怡</v>
      </c>
      <c r="G177" s="6" t="str">
        <f t="shared" si="49"/>
        <v>女</v>
      </c>
      <c r="H177" s="6" t="str">
        <f>"1999-06-07"</f>
        <v>1999-06-07</v>
      </c>
      <c r="I177" s="6"/>
    </row>
    <row r="178" s="1" customFormat="1" ht="30" customHeight="1" spans="1:9">
      <c r="A178" s="6">
        <v>176</v>
      </c>
      <c r="B178" s="6" t="str">
        <f>"48712023020217313118826"</f>
        <v>48712023020217313118826</v>
      </c>
      <c r="C178" s="6" t="str">
        <f t="shared" si="37"/>
        <v>0101</v>
      </c>
      <c r="D178" s="6" t="s">
        <v>10</v>
      </c>
      <c r="E178" s="6" t="s">
        <v>11</v>
      </c>
      <c r="F178" s="6" t="str">
        <f>"胡渝汶"</f>
        <v>胡渝汶</v>
      </c>
      <c r="G178" s="6" t="str">
        <f t="shared" si="49"/>
        <v>女</v>
      </c>
      <c r="H178" s="6" t="str">
        <f>"1994-10-20"</f>
        <v>1994-10-20</v>
      </c>
      <c r="I178" s="6"/>
    </row>
    <row r="179" s="1" customFormat="1" ht="30" customHeight="1" spans="1:9">
      <c r="A179" s="6">
        <v>177</v>
      </c>
      <c r="B179" s="6" t="str">
        <f>"48712023020217422118853"</f>
        <v>48712023020217422118853</v>
      </c>
      <c r="C179" s="6" t="str">
        <f t="shared" si="37"/>
        <v>0101</v>
      </c>
      <c r="D179" s="6" t="s">
        <v>10</v>
      </c>
      <c r="E179" s="6" t="s">
        <v>11</v>
      </c>
      <c r="F179" s="6" t="str">
        <f>"邢金良"</f>
        <v>邢金良</v>
      </c>
      <c r="G179" s="6" t="str">
        <f t="shared" si="48"/>
        <v>男</v>
      </c>
      <c r="H179" s="6" t="str">
        <f>"1996-04-22"</f>
        <v>1996-04-22</v>
      </c>
      <c r="I179" s="6"/>
    </row>
    <row r="180" s="1" customFormat="1" ht="30" customHeight="1" spans="1:9">
      <c r="A180" s="6">
        <v>178</v>
      </c>
      <c r="B180" s="6" t="str">
        <f>"48712023020218120618902"</f>
        <v>48712023020218120618902</v>
      </c>
      <c r="C180" s="6" t="str">
        <f t="shared" si="37"/>
        <v>0101</v>
      </c>
      <c r="D180" s="6" t="s">
        <v>10</v>
      </c>
      <c r="E180" s="6" t="s">
        <v>11</v>
      </c>
      <c r="F180" s="6" t="str">
        <f>"柯俊婕"</f>
        <v>柯俊婕</v>
      </c>
      <c r="G180" s="6" t="str">
        <f t="shared" ref="G180:G184" si="50">"女"</f>
        <v>女</v>
      </c>
      <c r="H180" s="6" t="str">
        <f>"1987-05-08"</f>
        <v>1987-05-08</v>
      </c>
      <c r="I180" s="6"/>
    </row>
    <row r="181" s="1" customFormat="1" ht="30" customHeight="1" spans="1:9">
      <c r="A181" s="6">
        <v>179</v>
      </c>
      <c r="B181" s="6" t="str">
        <f>"48712023020218273418931"</f>
        <v>48712023020218273418931</v>
      </c>
      <c r="C181" s="6" t="str">
        <f t="shared" si="37"/>
        <v>0101</v>
      </c>
      <c r="D181" s="6" t="s">
        <v>10</v>
      </c>
      <c r="E181" s="6" t="s">
        <v>11</v>
      </c>
      <c r="F181" s="6" t="str">
        <f>"李旭阳"</f>
        <v>李旭阳</v>
      </c>
      <c r="G181" s="6" t="str">
        <f t="shared" ref="G181:G187" si="51">"男"</f>
        <v>男</v>
      </c>
      <c r="H181" s="6" t="str">
        <f>"1992-05-24"</f>
        <v>1992-05-24</v>
      </c>
      <c r="I181" s="6"/>
    </row>
    <row r="182" s="1" customFormat="1" ht="30" customHeight="1" spans="1:9">
      <c r="A182" s="6">
        <v>180</v>
      </c>
      <c r="B182" s="6" t="str">
        <f>"48712023020219323919031"</f>
        <v>48712023020219323919031</v>
      </c>
      <c r="C182" s="6" t="str">
        <f t="shared" si="37"/>
        <v>0101</v>
      </c>
      <c r="D182" s="6" t="s">
        <v>10</v>
      </c>
      <c r="E182" s="6" t="s">
        <v>11</v>
      </c>
      <c r="F182" s="6" t="str">
        <f>"陈昱兆"</f>
        <v>陈昱兆</v>
      </c>
      <c r="G182" s="6" t="str">
        <f t="shared" si="50"/>
        <v>女</v>
      </c>
      <c r="H182" s="6" t="str">
        <f>"1997-01-10"</f>
        <v>1997-01-10</v>
      </c>
      <c r="I182" s="6"/>
    </row>
    <row r="183" s="1" customFormat="1" ht="30" customHeight="1" spans="1:9">
      <c r="A183" s="6">
        <v>181</v>
      </c>
      <c r="B183" s="6" t="str">
        <f>"48712023020219432419051"</f>
        <v>48712023020219432419051</v>
      </c>
      <c r="C183" s="6" t="str">
        <f t="shared" si="37"/>
        <v>0101</v>
      </c>
      <c r="D183" s="6" t="s">
        <v>10</v>
      </c>
      <c r="E183" s="6" t="s">
        <v>11</v>
      </c>
      <c r="F183" s="6" t="str">
        <f>"陈泽凤"</f>
        <v>陈泽凤</v>
      </c>
      <c r="G183" s="6" t="str">
        <f t="shared" si="50"/>
        <v>女</v>
      </c>
      <c r="H183" s="6" t="str">
        <f>"1999-09-15"</f>
        <v>1999-09-15</v>
      </c>
      <c r="I183" s="6"/>
    </row>
    <row r="184" s="1" customFormat="1" ht="30" customHeight="1" spans="1:9">
      <c r="A184" s="6">
        <v>182</v>
      </c>
      <c r="B184" s="6" t="str">
        <f>"48712023020220071619102"</f>
        <v>48712023020220071619102</v>
      </c>
      <c r="C184" s="6" t="str">
        <f t="shared" si="37"/>
        <v>0101</v>
      </c>
      <c r="D184" s="6" t="s">
        <v>10</v>
      </c>
      <c r="E184" s="6" t="s">
        <v>11</v>
      </c>
      <c r="F184" s="6" t="str">
        <f>"刘端琦"</f>
        <v>刘端琦</v>
      </c>
      <c r="G184" s="6" t="str">
        <f t="shared" si="50"/>
        <v>女</v>
      </c>
      <c r="H184" s="6" t="str">
        <f>"1999-06-20"</f>
        <v>1999-06-20</v>
      </c>
      <c r="I184" s="6"/>
    </row>
    <row r="185" s="1" customFormat="1" ht="30" customHeight="1" spans="1:9">
      <c r="A185" s="6">
        <v>183</v>
      </c>
      <c r="B185" s="6" t="str">
        <f>"48712023020221215519280"</f>
        <v>48712023020221215519280</v>
      </c>
      <c r="C185" s="6" t="str">
        <f t="shared" si="37"/>
        <v>0101</v>
      </c>
      <c r="D185" s="6" t="s">
        <v>10</v>
      </c>
      <c r="E185" s="6" t="s">
        <v>11</v>
      </c>
      <c r="F185" s="6" t="str">
        <f>"陈应重"</f>
        <v>陈应重</v>
      </c>
      <c r="G185" s="6" t="str">
        <f t="shared" si="51"/>
        <v>男</v>
      </c>
      <c r="H185" s="6" t="str">
        <f>"1996-06-15"</f>
        <v>1996-06-15</v>
      </c>
      <c r="I185" s="6"/>
    </row>
    <row r="186" s="1" customFormat="1" ht="30" customHeight="1" spans="1:9">
      <c r="A186" s="6">
        <v>184</v>
      </c>
      <c r="B186" s="6" t="str">
        <f>"48712023020221561119374"</f>
        <v>48712023020221561119374</v>
      </c>
      <c r="C186" s="6" t="str">
        <f t="shared" si="37"/>
        <v>0101</v>
      </c>
      <c r="D186" s="6" t="s">
        <v>10</v>
      </c>
      <c r="E186" s="6" t="s">
        <v>11</v>
      </c>
      <c r="F186" s="6" t="str">
        <f>"吴武晋"</f>
        <v>吴武晋</v>
      </c>
      <c r="G186" s="6" t="str">
        <f t="shared" si="51"/>
        <v>男</v>
      </c>
      <c r="H186" s="6" t="str">
        <f>"1995-12-09"</f>
        <v>1995-12-09</v>
      </c>
      <c r="I186" s="6"/>
    </row>
    <row r="187" s="1" customFormat="1" ht="30" customHeight="1" spans="1:9">
      <c r="A187" s="6">
        <v>185</v>
      </c>
      <c r="B187" s="6" t="str">
        <f>"48712023020222051019401"</f>
        <v>48712023020222051019401</v>
      </c>
      <c r="C187" s="6" t="str">
        <f t="shared" si="37"/>
        <v>0101</v>
      </c>
      <c r="D187" s="6" t="s">
        <v>10</v>
      </c>
      <c r="E187" s="6" t="s">
        <v>11</v>
      </c>
      <c r="F187" s="6" t="str">
        <f>"陈勇潇"</f>
        <v>陈勇潇</v>
      </c>
      <c r="G187" s="6" t="str">
        <f t="shared" si="51"/>
        <v>男</v>
      </c>
      <c r="H187" s="6" t="str">
        <f>"1994-07-04"</f>
        <v>1994-07-04</v>
      </c>
      <c r="I187" s="6"/>
    </row>
    <row r="188" s="1" customFormat="1" ht="30" customHeight="1" spans="1:9">
      <c r="A188" s="6">
        <v>186</v>
      </c>
      <c r="B188" s="6" t="str">
        <f>"48712023020222252519453"</f>
        <v>48712023020222252519453</v>
      </c>
      <c r="C188" s="6" t="str">
        <f t="shared" si="37"/>
        <v>0101</v>
      </c>
      <c r="D188" s="6" t="s">
        <v>10</v>
      </c>
      <c r="E188" s="6" t="s">
        <v>11</v>
      </c>
      <c r="F188" s="6" t="str">
        <f>"符白利"</f>
        <v>符白利</v>
      </c>
      <c r="G188" s="6" t="str">
        <f t="shared" ref="G188:G192" si="52">"女"</f>
        <v>女</v>
      </c>
      <c r="H188" s="6" t="str">
        <f>"1991-01-24"</f>
        <v>1991-01-24</v>
      </c>
      <c r="I188" s="6"/>
    </row>
    <row r="189" s="1" customFormat="1" ht="30" customHeight="1" spans="1:9">
      <c r="A189" s="6">
        <v>187</v>
      </c>
      <c r="B189" s="6" t="str">
        <f>"48712023020222494419495"</f>
        <v>48712023020222494419495</v>
      </c>
      <c r="C189" s="6" t="str">
        <f t="shared" si="37"/>
        <v>0101</v>
      </c>
      <c r="D189" s="6" t="s">
        <v>10</v>
      </c>
      <c r="E189" s="6" t="s">
        <v>11</v>
      </c>
      <c r="F189" s="6" t="str">
        <f>"苏展"</f>
        <v>苏展</v>
      </c>
      <c r="G189" s="6" t="str">
        <f>"男"</f>
        <v>男</v>
      </c>
      <c r="H189" s="6" t="str">
        <f>"1997-08-20"</f>
        <v>1997-08-20</v>
      </c>
      <c r="I189" s="6"/>
    </row>
    <row r="190" s="1" customFormat="1" ht="30" customHeight="1" spans="1:9">
      <c r="A190" s="6">
        <v>188</v>
      </c>
      <c r="B190" s="6" t="str">
        <f>"48712023020300111219593"</f>
        <v>48712023020300111219593</v>
      </c>
      <c r="C190" s="6" t="str">
        <f t="shared" si="37"/>
        <v>0101</v>
      </c>
      <c r="D190" s="6" t="s">
        <v>10</v>
      </c>
      <c r="E190" s="6" t="s">
        <v>11</v>
      </c>
      <c r="F190" s="6" t="str">
        <f>"黄冬媛"</f>
        <v>黄冬媛</v>
      </c>
      <c r="G190" s="6" t="str">
        <f t="shared" si="52"/>
        <v>女</v>
      </c>
      <c r="H190" s="6" t="str">
        <f>"1991-01-01"</f>
        <v>1991-01-01</v>
      </c>
      <c r="I190" s="6"/>
    </row>
    <row r="191" s="1" customFormat="1" ht="30" customHeight="1" spans="1:9">
      <c r="A191" s="6">
        <v>189</v>
      </c>
      <c r="B191" s="6" t="str">
        <f>"48712023020309362819765"</f>
        <v>48712023020309362819765</v>
      </c>
      <c r="C191" s="6" t="str">
        <f t="shared" si="37"/>
        <v>0101</v>
      </c>
      <c r="D191" s="6" t="s">
        <v>10</v>
      </c>
      <c r="E191" s="6" t="s">
        <v>11</v>
      </c>
      <c r="F191" s="6" t="str">
        <f>"赵嘉玮"</f>
        <v>赵嘉玮</v>
      </c>
      <c r="G191" s="6" t="str">
        <f t="shared" si="52"/>
        <v>女</v>
      </c>
      <c r="H191" s="6" t="str">
        <f>"1995-11-21"</f>
        <v>1995-11-21</v>
      </c>
      <c r="I191" s="6"/>
    </row>
    <row r="192" s="1" customFormat="1" ht="30" customHeight="1" spans="1:9">
      <c r="A192" s="6">
        <v>190</v>
      </c>
      <c r="B192" s="6" t="str">
        <f>"48712023020310570819953"</f>
        <v>48712023020310570819953</v>
      </c>
      <c r="C192" s="6" t="str">
        <f t="shared" si="37"/>
        <v>0101</v>
      </c>
      <c r="D192" s="6" t="s">
        <v>10</v>
      </c>
      <c r="E192" s="6" t="s">
        <v>11</v>
      </c>
      <c r="F192" s="6" t="str">
        <f>"董敏"</f>
        <v>董敏</v>
      </c>
      <c r="G192" s="6" t="str">
        <f t="shared" si="52"/>
        <v>女</v>
      </c>
      <c r="H192" s="6" t="str">
        <f>"1996-10-08"</f>
        <v>1996-10-08</v>
      </c>
      <c r="I192" s="6"/>
    </row>
    <row r="193" s="1" customFormat="1" ht="30" customHeight="1" spans="1:9">
      <c r="A193" s="6">
        <v>191</v>
      </c>
      <c r="B193" s="6" t="str">
        <f>"48712023020310584319959"</f>
        <v>48712023020310584319959</v>
      </c>
      <c r="C193" s="6" t="str">
        <f t="shared" si="37"/>
        <v>0101</v>
      </c>
      <c r="D193" s="6" t="s">
        <v>10</v>
      </c>
      <c r="E193" s="6" t="s">
        <v>11</v>
      </c>
      <c r="F193" s="6" t="str">
        <f>"吴幸达"</f>
        <v>吴幸达</v>
      </c>
      <c r="G193" s="6" t="str">
        <f t="shared" ref="G193:G198" si="53">"男"</f>
        <v>男</v>
      </c>
      <c r="H193" s="6" t="str">
        <f>"1996-10-10"</f>
        <v>1996-10-10</v>
      </c>
      <c r="I193" s="6"/>
    </row>
    <row r="194" s="1" customFormat="1" ht="30" customHeight="1" spans="1:9">
      <c r="A194" s="6">
        <v>192</v>
      </c>
      <c r="B194" s="6" t="str">
        <f>"48712023020311440220085"</f>
        <v>48712023020311440220085</v>
      </c>
      <c r="C194" s="6" t="str">
        <f t="shared" si="37"/>
        <v>0101</v>
      </c>
      <c r="D194" s="6" t="s">
        <v>10</v>
      </c>
      <c r="E194" s="6" t="s">
        <v>11</v>
      </c>
      <c r="F194" s="6" t="str">
        <f>"杨昭青"</f>
        <v>杨昭青</v>
      </c>
      <c r="G194" s="6" t="str">
        <f t="shared" ref="G194:G196" si="54">"女"</f>
        <v>女</v>
      </c>
      <c r="H194" s="6" t="str">
        <f>"1994-01-15"</f>
        <v>1994-01-15</v>
      </c>
      <c r="I194" s="6"/>
    </row>
    <row r="195" s="1" customFormat="1" ht="30" customHeight="1" spans="1:9">
      <c r="A195" s="6">
        <v>193</v>
      </c>
      <c r="B195" s="6" t="str">
        <f>"48712023020311540520106"</f>
        <v>48712023020311540520106</v>
      </c>
      <c r="C195" s="6" t="str">
        <f t="shared" ref="C195:C258" si="55">"0101"</f>
        <v>0101</v>
      </c>
      <c r="D195" s="6" t="s">
        <v>10</v>
      </c>
      <c r="E195" s="6" t="s">
        <v>11</v>
      </c>
      <c r="F195" s="6" t="str">
        <f>"陈乙月"</f>
        <v>陈乙月</v>
      </c>
      <c r="G195" s="6" t="str">
        <f t="shared" si="54"/>
        <v>女</v>
      </c>
      <c r="H195" s="6" t="str">
        <f>"1998-08-25"</f>
        <v>1998-08-25</v>
      </c>
      <c r="I195" s="6"/>
    </row>
    <row r="196" s="1" customFormat="1" ht="30" customHeight="1" spans="1:9">
      <c r="A196" s="6">
        <v>194</v>
      </c>
      <c r="B196" s="6" t="str">
        <f>"48712023020313122120251"</f>
        <v>48712023020313122120251</v>
      </c>
      <c r="C196" s="6" t="str">
        <f t="shared" si="55"/>
        <v>0101</v>
      </c>
      <c r="D196" s="6" t="s">
        <v>10</v>
      </c>
      <c r="E196" s="6" t="s">
        <v>11</v>
      </c>
      <c r="F196" s="6" t="str">
        <f>"关璐"</f>
        <v>关璐</v>
      </c>
      <c r="G196" s="6" t="str">
        <f t="shared" si="54"/>
        <v>女</v>
      </c>
      <c r="H196" s="6" t="str">
        <f>"1995-09-13"</f>
        <v>1995-09-13</v>
      </c>
      <c r="I196" s="6"/>
    </row>
    <row r="197" s="1" customFormat="1" ht="30" customHeight="1" spans="1:9">
      <c r="A197" s="6">
        <v>195</v>
      </c>
      <c r="B197" s="6" t="str">
        <f>"48712023020313212520273"</f>
        <v>48712023020313212520273</v>
      </c>
      <c r="C197" s="6" t="str">
        <f t="shared" si="55"/>
        <v>0101</v>
      </c>
      <c r="D197" s="6" t="s">
        <v>10</v>
      </c>
      <c r="E197" s="6" t="s">
        <v>11</v>
      </c>
      <c r="F197" s="6" t="str">
        <f>"邢英浩"</f>
        <v>邢英浩</v>
      </c>
      <c r="G197" s="6" t="str">
        <f t="shared" si="53"/>
        <v>男</v>
      </c>
      <c r="H197" s="6" t="str">
        <f>"1996-07-01"</f>
        <v>1996-07-01</v>
      </c>
      <c r="I197" s="6"/>
    </row>
    <row r="198" s="1" customFormat="1" ht="30" customHeight="1" spans="1:9">
      <c r="A198" s="6">
        <v>196</v>
      </c>
      <c r="B198" s="6" t="str">
        <f>"48712023020314564620437"</f>
        <v>48712023020314564620437</v>
      </c>
      <c r="C198" s="6" t="str">
        <f t="shared" si="55"/>
        <v>0101</v>
      </c>
      <c r="D198" s="6" t="s">
        <v>10</v>
      </c>
      <c r="E198" s="6" t="s">
        <v>11</v>
      </c>
      <c r="F198" s="6" t="str">
        <f>"詹道宇"</f>
        <v>詹道宇</v>
      </c>
      <c r="G198" s="6" t="str">
        <f t="shared" si="53"/>
        <v>男</v>
      </c>
      <c r="H198" s="6" t="str">
        <f>"1996-09-28"</f>
        <v>1996-09-28</v>
      </c>
      <c r="I198" s="6"/>
    </row>
    <row r="199" s="1" customFormat="1" ht="30" customHeight="1" spans="1:9">
      <c r="A199" s="6">
        <v>197</v>
      </c>
      <c r="B199" s="6" t="str">
        <f>"48712023020315420220528"</f>
        <v>48712023020315420220528</v>
      </c>
      <c r="C199" s="6" t="str">
        <f t="shared" si="55"/>
        <v>0101</v>
      </c>
      <c r="D199" s="6" t="s">
        <v>10</v>
      </c>
      <c r="E199" s="6" t="s">
        <v>11</v>
      </c>
      <c r="F199" s="6" t="str">
        <f>"潘琳"</f>
        <v>潘琳</v>
      </c>
      <c r="G199" s="6" t="str">
        <f t="shared" ref="G199:G202" si="56">"女"</f>
        <v>女</v>
      </c>
      <c r="H199" s="6" t="str">
        <f>"1999-11-10"</f>
        <v>1999-11-10</v>
      </c>
      <c r="I199" s="6"/>
    </row>
    <row r="200" s="1" customFormat="1" ht="30" customHeight="1" spans="1:9">
      <c r="A200" s="6">
        <v>198</v>
      </c>
      <c r="B200" s="6" t="str">
        <f>"48712023020315454020532"</f>
        <v>48712023020315454020532</v>
      </c>
      <c r="C200" s="6" t="str">
        <f t="shared" si="55"/>
        <v>0101</v>
      </c>
      <c r="D200" s="6" t="s">
        <v>10</v>
      </c>
      <c r="E200" s="6" t="s">
        <v>11</v>
      </c>
      <c r="F200" s="6" t="str">
        <f>"杜政纯"</f>
        <v>杜政纯</v>
      </c>
      <c r="G200" s="6" t="str">
        <f t="shared" si="56"/>
        <v>女</v>
      </c>
      <c r="H200" s="6" t="str">
        <f>"1995-07-04"</f>
        <v>1995-07-04</v>
      </c>
      <c r="I200" s="6"/>
    </row>
    <row r="201" s="1" customFormat="1" ht="30" customHeight="1" spans="1:9">
      <c r="A201" s="6">
        <v>199</v>
      </c>
      <c r="B201" s="6" t="str">
        <f>"48712023020315461920534"</f>
        <v>48712023020315461920534</v>
      </c>
      <c r="C201" s="6" t="str">
        <f t="shared" si="55"/>
        <v>0101</v>
      </c>
      <c r="D201" s="6" t="s">
        <v>10</v>
      </c>
      <c r="E201" s="6" t="s">
        <v>11</v>
      </c>
      <c r="F201" s="6" t="str">
        <f>"吴丽丽"</f>
        <v>吴丽丽</v>
      </c>
      <c r="G201" s="6" t="str">
        <f t="shared" si="56"/>
        <v>女</v>
      </c>
      <c r="H201" s="6" t="str">
        <f>"1992-12-18"</f>
        <v>1992-12-18</v>
      </c>
      <c r="I201" s="6"/>
    </row>
    <row r="202" s="1" customFormat="1" ht="30" customHeight="1" spans="1:9">
      <c r="A202" s="6">
        <v>200</v>
      </c>
      <c r="B202" s="6" t="str">
        <f>"48712023020316353820661"</f>
        <v>48712023020316353820661</v>
      </c>
      <c r="C202" s="6" t="str">
        <f t="shared" si="55"/>
        <v>0101</v>
      </c>
      <c r="D202" s="6" t="s">
        <v>10</v>
      </c>
      <c r="E202" s="6" t="s">
        <v>11</v>
      </c>
      <c r="F202" s="6" t="str">
        <f>"曹菲"</f>
        <v>曹菲</v>
      </c>
      <c r="G202" s="6" t="str">
        <f t="shared" si="56"/>
        <v>女</v>
      </c>
      <c r="H202" s="6" t="str">
        <f>"1994-07-01"</f>
        <v>1994-07-01</v>
      </c>
      <c r="I202" s="6"/>
    </row>
    <row r="203" s="1" customFormat="1" ht="30" customHeight="1" spans="1:9">
      <c r="A203" s="6">
        <v>201</v>
      </c>
      <c r="B203" s="6" t="str">
        <f>"48712023020319404520956"</f>
        <v>48712023020319404520956</v>
      </c>
      <c r="C203" s="6" t="str">
        <f t="shared" si="55"/>
        <v>0101</v>
      </c>
      <c r="D203" s="6" t="s">
        <v>10</v>
      </c>
      <c r="E203" s="6" t="s">
        <v>11</v>
      </c>
      <c r="F203" s="6" t="str">
        <f>"林小橼"</f>
        <v>林小橼</v>
      </c>
      <c r="G203" s="6" t="str">
        <f t="shared" ref="G203:G205" si="57">"男"</f>
        <v>男</v>
      </c>
      <c r="H203" s="6" t="str">
        <f>"1994-07-14"</f>
        <v>1994-07-14</v>
      </c>
      <c r="I203" s="6"/>
    </row>
    <row r="204" s="1" customFormat="1" ht="30" customHeight="1" spans="1:9">
      <c r="A204" s="6">
        <v>202</v>
      </c>
      <c r="B204" s="6" t="str">
        <f>"48712023020319464220966"</f>
        <v>48712023020319464220966</v>
      </c>
      <c r="C204" s="6" t="str">
        <f t="shared" si="55"/>
        <v>0101</v>
      </c>
      <c r="D204" s="6" t="s">
        <v>10</v>
      </c>
      <c r="E204" s="6" t="s">
        <v>11</v>
      </c>
      <c r="F204" s="6" t="str">
        <f>"陈泓志"</f>
        <v>陈泓志</v>
      </c>
      <c r="G204" s="6" t="str">
        <f t="shared" si="57"/>
        <v>男</v>
      </c>
      <c r="H204" s="6" t="str">
        <f>"1988-03-03"</f>
        <v>1988-03-03</v>
      </c>
      <c r="I204" s="6"/>
    </row>
    <row r="205" s="1" customFormat="1" ht="30" customHeight="1" spans="1:9">
      <c r="A205" s="6">
        <v>203</v>
      </c>
      <c r="B205" s="6" t="str">
        <f>"48712023020319511520976"</f>
        <v>48712023020319511520976</v>
      </c>
      <c r="C205" s="6" t="str">
        <f t="shared" si="55"/>
        <v>0101</v>
      </c>
      <c r="D205" s="6" t="s">
        <v>10</v>
      </c>
      <c r="E205" s="6" t="s">
        <v>11</v>
      </c>
      <c r="F205" s="6" t="str">
        <f>"李凯"</f>
        <v>李凯</v>
      </c>
      <c r="G205" s="6" t="str">
        <f t="shared" si="57"/>
        <v>男</v>
      </c>
      <c r="H205" s="6" t="str">
        <f>"1992-09-14"</f>
        <v>1992-09-14</v>
      </c>
      <c r="I205" s="6"/>
    </row>
    <row r="206" s="1" customFormat="1" ht="30" customHeight="1" spans="1:9">
      <c r="A206" s="6">
        <v>204</v>
      </c>
      <c r="B206" s="6" t="str">
        <f>"48712023020320413721065"</f>
        <v>48712023020320413721065</v>
      </c>
      <c r="C206" s="6" t="str">
        <f t="shared" si="55"/>
        <v>0101</v>
      </c>
      <c r="D206" s="6" t="s">
        <v>10</v>
      </c>
      <c r="E206" s="6" t="s">
        <v>11</v>
      </c>
      <c r="F206" s="6" t="str">
        <f>"张静雨"</f>
        <v>张静雨</v>
      </c>
      <c r="G206" s="6" t="str">
        <f t="shared" ref="G206:G211" si="58">"女"</f>
        <v>女</v>
      </c>
      <c r="H206" s="6" t="str">
        <f>"1992-10-11"</f>
        <v>1992-10-11</v>
      </c>
      <c r="I206" s="6"/>
    </row>
    <row r="207" s="1" customFormat="1" ht="30" customHeight="1" spans="1:9">
      <c r="A207" s="6">
        <v>205</v>
      </c>
      <c r="B207" s="6" t="str">
        <f>"48712023020320500921081"</f>
        <v>48712023020320500921081</v>
      </c>
      <c r="C207" s="6" t="str">
        <f t="shared" si="55"/>
        <v>0101</v>
      </c>
      <c r="D207" s="6" t="s">
        <v>10</v>
      </c>
      <c r="E207" s="6" t="s">
        <v>11</v>
      </c>
      <c r="F207" s="6" t="str">
        <f>"张耀泽"</f>
        <v>张耀泽</v>
      </c>
      <c r="G207" s="6" t="str">
        <f t="shared" ref="G207:G212" si="59">"男"</f>
        <v>男</v>
      </c>
      <c r="H207" s="6" t="str">
        <f>"1992-04-26"</f>
        <v>1992-04-26</v>
      </c>
      <c r="I207" s="6"/>
    </row>
    <row r="208" s="1" customFormat="1" ht="30" customHeight="1" spans="1:9">
      <c r="A208" s="6">
        <v>206</v>
      </c>
      <c r="B208" s="6" t="str">
        <f>"48712023020321092621127"</f>
        <v>48712023020321092621127</v>
      </c>
      <c r="C208" s="6" t="str">
        <f t="shared" si="55"/>
        <v>0101</v>
      </c>
      <c r="D208" s="6" t="s">
        <v>10</v>
      </c>
      <c r="E208" s="6" t="s">
        <v>11</v>
      </c>
      <c r="F208" s="6" t="str">
        <f>"陈焕蓉"</f>
        <v>陈焕蓉</v>
      </c>
      <c r="G208" s="6" t="str">
        <f t="shared" si="58"/>
        <v>女</v>
      </c>
      <c r="H208" s="6" t="str">
        <f>"2001-01-01"</f>
        <v>2001-01-01</v>
      </c>
      <c r="I208" s="6"/>
    </row>
    <row r="209" s="1" customFormat="1" ht="30" customHeight="1" spans="1:9">
      <c r="A209" s="6">
        <v>207</v>
      </c>
      <c r="B209" s="6" t="str">
        <f>"48712023020321315221166"</f>
        <v>48712023020321315221166</v>
      </c>
      <c r="C209" s="6" t="str">
        <f t="shared" si="55"/>
        <v>0101</v>
      </c>
      <c r="D209" s="6" t="s">
        <v>10</v>
      </c>
      <c r="E209" s="6" t="s">
        <v>11</v>
      </c>
      <c r="F209" s="6" t="str">
        <f>"文名"</f>
        <v>文名</v>
      </c>
      <c r="G209" s="6" t="str">
        <f t="shared" si="59"/>
        <v>男</v>
      </c>
      <c r="H209" s="6" t="str">
        <f>"1993-03-26"</f>
        <v>1993-03-26</v>
      </c>
      <c r="I209" s="6"/>
    </row>
    <row r="210" s="1" customFormat="1" ht="30" customHeight="1" spans="1:9">
      <c r="A210" s="6">
        <v>208</v>
      </c>
      <c r="B210" s="6" t="str">
        <f>"48712023020321325921167"</f>
        <v>48712023020321325921167</v>
      </c>
      <c r="C210" s="6" t="str">
        <f t="shared" si="55"/>
        <v>0101</v>
      </c>
      <c r="D210" s="6" t="s">
        <v>10</v>
      </c>
      <c r="E210" s="6" t="s">
        <v>11</v>
      </c>
      <c r="F210" s="6" t="str">
        <f>"韦丽娜"</f>
        <v>韦丽娜</v>
      </c>
      <c r="G210" s="6" t="str">
        <f t="shared" si="58"/>
        <v>女</v>
      </c>
      <c r="H210" s="6" t="str">
        <f>"1997-05-28"</f>
        <v>1997-05-28</v>
      </c>
      <c r="I210" s="6"/>
    </row>
    <row r="211" s="1" customFormat="1" ht="30" customHeight="1" spans="1:9">
      <c r="A211" s="6">
        <v>209</v>
      </c>
      <c r="B211" s="6" t="str">
        <f>"48712023020323030321340"</f>
        <v>48712023020323030321340</v>
      </c>
      <c r="C211" s="6" t="str">
        <f t="shared" si="55"/>
        <v>0101</v>
      </c>
      <c r="D211" s="6" t="s">
        <v>10</v>
      </c>
      <c r="E211" s="6" t="s">
        <v>11</v>
      </c>
      <c r="F211" s="6" t="str">
        <f>"林琳琅"</f>
        <v>林琳琅</v>
      </c>
      <c r="G211" s="6" t="str">
        <f t="shared" si="58"/>
        <v>女</v>
      </c>
      <c r="H211" s="6" t="str">
        <f>"1997-06-15"</f>
        <v>1997-06-15</v>
      </c>
      <c r="I211" s="6"/>
    </row>
    <row r="212" s="1" customFormat="1" ht="30" customHeight="1" spans="1:9">
      <c r="A212" s="6">
        <v>210</v>
      </c>
      <c r="B212" s="6" t="str">
        <f>"48712023020323150821355"</f>
        <v>48712023020323150821355</v>
      </c>
      <c r="C212" s="6" t="str">
        <f t="shared" si="55"/>
        <v>0101</v>
      </c>
      <c r="D212" s="6" t="s">
        <v>10</v>
      </c>
      <c r="E212" s="6" t="s">
        <v>11</v>
      </c>
      <c r="F212" s="6" t="str">
        <f>"胡森"</f>
        <v>胡森</v>
      </c>
      <c r="G212" s="6" t="str">
        <f t="shared" si="59"/>
        <v>男</v>
      </c>
      <c r="H212" s="6" t="str">
        <f>"1992-01-07"</f>
        <v>1992-01-07</v>
      </c>
      <c r="I212" s="6"/>
    </row>
    <row r="213" s="1" customFormat="1" ht="30" customHeight="1" spans="1:9">
      <c r="A213" s="6">
        <v>211</v>
      </c>
      <c r="B213" s="6" t="str">
        <f>"48712023020400093421429"</f>
        <v>48712023020400093421429</v>
      </c>
      <c r="C213" s="6" t="str">
        <f t="shared" si="55"/>
        <v>0101</v>
      </c>
      <c r="D213" s="6" t="s">
        <v>10</v>
      </c>
      <c r="E213" s="6" t="s">
        <v>11</v>
      </c>
      <c r="F213" s="6" t="str">
        <f>"陈岩玲"</f>
        <v>陈岩玲</v>
      </c>
      <c r="G213" s="6" t="str">
        <f>"女"</f>
        <v>女</v>
      </c>
      <c r="H213" s="6" t="str">
        <f>"1998-08-03"</f>
        <v>1998-08-03</v>
      </c>
      <c r="I213" s="6"/>
    </row>
    <row r="214" s="1" customFormat="1" ht="30" customHeight="1" spans="1:9">
      <c r="A214" s="6">
        <v>212</v>
      </c>
      <c r="B214" s="6" t="str">
        <f>"48712023020410470621651"</f>
        <v>48712023020410470621651</v>
      </c>
      <c r="C214" s="6" t="str">
        <f t="shared" si="55"/>
        <v>0101</v>
      </c>
      <c r="D214" s="6" t="s">
        <v>10</v>
      </c>
      <c r="E214" s="6" t="s">
        <v>11</v>
      </c>
      <c r="F214" s="6" t="str">
        <f>"陈益海"</f>
        <v>陈益海</v>
      </c>
      <c r="G214" s="6" t="str">
        <f>"男"</f>
        <v>男</v>
      </c>
      <c r="H214" s="6" t="str">
        <f>"1999-01-08"</f>
        <v>1999-01-08</v>
      </c>
      <c r="I214" s="6"/>
    </row>
    <row r="215" s="1" customFormat="1" ht="30" customHeight="1" spans="1:9">
      <c r="A215" s="6">
        <v>213</v>
      </c>
      <c r="B215" s="6" t="str">
        <f>"48712023020412144021781"</f>
        <v>48712023020412144021781</v>
      </c>
      <c r="C215" s="6" t="str">
        <f t="shared" si="55"/>
        <v>0101</v>
      </c>
      <c r="D215" s="6" t="s">
        <v>10</v>
      </c>
      <c r="E215" s="6" t="s">
        <v>11</v>
      </c>
      <c r="F215" s="6" t="str">
        <f>"潘家隆"</f>
        <v>潘家隆</v>
      </c>
      <c r="G215" s="6" t="str">
        <f>"男"</f>
        <v>男</v>
      </c>
      <c r="H215" s="6" t="str">
        <f>"1998-07-06"</f>
        <v>1998-07-06</v>
      </c>
      <c r="I215" s="6"/>
    </row>
    <row r="216" s="1" customFormat="1" ht="30" customHeight="1" spans="1:9">
      <c r="A216" s="6">
        <v>214</v>
      </c>
      <c r="B216" s="6" t="str">
        <f>"48712023020415265022065"</f>
        <v>48712023020415265022065</v>
      </c>
      <c r="C216" s="6" t="str">
        <f t="shared" si="55"/>
        <v>0101</v>
      </c>
      <c r="D216" s="6" t="s">
        <v>10</v>
      </c>
      <c r="E216" s="6" t="s">
        <v>11</v>
      </c>
      <c r="F216" s="6" t="str">
        <f>"陈爱菊"</f>
        <v>陈爱菊</v>
      </c>
      <c r="G216" s="6" t="str">
        <f t="shared" ref="G216:G222" si="60">"女"</f>
        <v>女</v>
      </c>
      <c r="H216" s="6" t="str">
        <f>"1996-12-02"</f>
        <v>1996-12-02</v>
      </c>
      <c r="I216" s="6"/>
    </row>
    <row r="217" s="1" customFormat="1" ht="30" customHeight="1" spans="1:9">
      <c r="A217" s="6">
        <v>215</v>
      </c>
      <c r="B217" s="6" t="str">
        <f>"48712023020415281822070"</f>
        <v>48712023020415281822070</v>
      </c>
      <c r="C217" s="6" t="str">
        <f t="shared" si="55"/>
        <v>0101</v>
      </c>
      <c r="D217" s="6" t="s">
        <v>10</v>
      </c>
      <c r="E217" s="6" t="s">
        <v>11</v>
      </c>
      <c r="F217" s="6" t="str">
        <f>"陈太汝"</f>
        <v>陈太汝</v>
      </c>
      <c r="G217" s="6" t="str">
        <f t="shared" si="60"/>
        <v>女</v>
      </c>
      <c r="H217" s="6" t="str">
        <f>"1996-09-15"</f>
        <v>1996-09-15</v>
      </c>
      <c r="I217" s="6"/>
    </row>
    <row r="218" s="1" customFormat="1" ht="30" customHeight="1" spans="1:9">
      <c r="A218" s="6">
        <v>216</v>
      </c>
      <c r="B218" s="6" t="str">
        <f>"48712023020417020522235"</f>
        <v>48712023020417020522235</v>
      </c>
      <c r="C218" s="6" t="str">
        <f t="shared" si="55"/>
        <v>0101</v>
      </c>
      <c r="D218" s="6" t="s">
        <v>10</v>
      </c>
      <c r="E218" s="6" t="s">
        <v>11</v>
      </c>
      <c r="F218" s="6" t="str">
        <f>"焦亚雯"</f>
        <v>焦亚雯</v>
      </c>
      <c r="G218" s="6" t="str">
        <f t="shared" si="60"/>
        <v>女</v>
      </c>
      <c r="H218" s="6" t="str">
        <f>"1999-10-07"</f>
        <v>1999-10-07</v>
      </c>
      <c r="I218" s="6"/>
    </row>
    <row r="219" s="1" customFormat="1" ht="30" customHeight="1" spans="1:9">
      <c r="A219" s="6">
        <v>217</v>
      </c>
      <c r="B219" s="6" t="str">
        <f>"48712023020417510022306"</f>
        <v>48712023020417510022306</v>
      </c>
      <c r="C219" s="6" t="str">
        <f t="shared" si="55"/>
        <v>0101</v>
      </c>
      <c r="D219" s="6" t="s">
        <v>10</v>
      </c>
      <c r="E219" s="6" t="s">
        <v>11</v>
      </c>
      <c r="F219" s="6" t="str">
        <f>"徐文悦"</f>
        <v>徐文悦</v>
      </c>
      <c r="G219" s="6" t="str">
        <f t="shared" si="60"/>
        <v>女</v>
      </c>
      <c r="H219" s="6" t="str">
        <f>"1998-03-14"</f>
        <v>1998-03-14</v>
      </c>
      <c r="I219" s="6"/>
    </row>
    <row r="220" s="1" customFormat="1" ht="30" customHeight="1" spans="1:9">
      <c r="A220" s="6">
        <v>218</v>
      </c>
      <c r="B220" s="6" t="str">
        <f>"48712023020419083322395"</f>
        <v>48712023020419083322395</v>
      </c>
      <c r="C220" s="6" t="str">
        <f t="shared" si="55"/>
        <v>0101</v>
      </c>
      <c r="D220" s="6" t="s">
        <v>10</v>
      </c>
      <c r="E220" s="6" t="s">
        <v>11</v>
      </c>
      <c r="F220" s="6" t="str">
        <f>"黎晨"</f>
        <v>黎晨</v>
      </c>
      <c r="G220" s="6" t="str">
        <f t="shared" si="60"/>
        <v>女</v>
      </c>
      <c r="H220" s="6" t="str">
        <f>"1995-07-25"</f>
        <v>1995-07-25</v>
      </c>
      <c r="I220" s="6"/>
    </row>
    <row r="221" s="1" customFormat="1" ht="30" customHeight="1" spans="1:9">
      <c r="A221" s="6">
        <v>219</v>
      </c>
      <c r="B221" s="6" t="str">
        <f>"48712023020419151222407"</f>
        <v>48712023020419151222407</v>
      </c>
      <c r="C221" s="6" t="str">
        <f t="shared" si="55"/>
        <v>0101</v>
      </c>
      <c r="D221" s="6" t="s">
        <v>10</v>
      </c>
      <c r="E221" s="6" t="s">
        <v>11</v>
      </c>
      <c r="F221" s="6" t="str">
        <f>"王千秀"</f>
        <v>王千秀</v>
      </c>
      <c r="G221" s="6" t="str">
        <f t="shared" si="60"/>
        <v>女</v>
      </c>
      <c r="H221" s="6" t="str">
        <f>"2000-01-28"</f>
        <v>2000-01-28</v>
      </c>
      <c r="I221" s="6"/>
    </row>
    <row r="222" s="1" customFormat="1" ht="30" customHeight="1" spans="1:9">
      <c r="A222" s="6">
        <v>220</v>
      </c>
      <c r="B222" s="6" t="str">
        <f>"48712023020419522522463"</f>
        <v>48712023020419522522463</v>
      </c>
      <c r="C222" s="6" t="str">
        <f t="shared" si="55"/>
        <v>0101</v>
      </c>
      <c r="D222" s="6" t="s">
        <v>10</v>
      </c>
      <c r="E222" s="6" t="s">
        <v>11</v>
      </c>
      <c r="F222" s="6" t="str">
        <f>"赵烨慧"</f>
        <v>赵烨慧</v>
      </c>
      <c r="G222" s="6" t="str">
        <f t="shared" si="60"/>
        <v>女</v>
      </c>
      <c r="H222" s="6" t="str">
        <f>"1999-12-12"</f>
        <v>1999-12-12</v>
      </c>
      <c r="I222" s="6"/>
    </row>
    <row r="223" s="1" customFormat="1" ht="30" customHeight="1" spans="1:9">
      <c r="A223" s="6">
        <v>221</v>
      </c>
      <c r="B223" s="6" t="str">
        <f>"48712023020420103022489"</f>
        <v>48712023020420103022489</v>
      </c>
      <c r="C223" s="6" t="str">
        <f t="shared" si="55"/>
        <v>0101</v>
      </c>
      <c r="D223" s="6" t="s">
        <v>10</v>
      </c>
      <c r="E223" s="6" t="s">
        <v>11</v>
      </c>
      <c r="F223" s="6" t="str">
        <f>"冯文才"</f>
        <v>冯文才</v>
      </c>
      <c r="G223" s="6" t="str">
        <f t="shared" ref="G223:G229" si="61">"男"</f>
        <v>男</v>
      </c>
      <c r="H223" s="6" t="str">
        <f>"1993-01-15"</f>
        <v>1993-01-15</v>
      </c>
      <c r="I223" s="6"/>
    </row>
    <row r="224" s="1" customFormat="1" ht="30" customHeight="1" spans="1:9">
      <c r="A224" s="6">
        <v>222</v>
      </c>
      <c r="B224" s="6" t="str">
        <f>"48712023020420403222548"</f>
        <v>48712023020420403222548</v>
      </c>
      <c r="C224" s="6" t="str">
        <f t="shared" si="55"/>
        <v>0101</v>
      </c>
      <c r="D224" s="6" t="s">
        <v>10</v>
      </c>
      <c r="E224" s="6" t="s">
        <v>11</v>
      </c>
      <c r="F224" s="6" t="str">
        <f>"何奕颖"</f>
        <v>何奕颖</v>
      </c>
      <c r="G224" s="6" t="str">
        <f t="shared" ref="G224:G227" si="62">"女"</f>
        <v>女</v>
      </c>
      <c r="H224" s="6" t="str">
        <f>"1998-03-27"</f>
        <v>1998-03-27</v>
      </c>
      <c r="I224" s="6"/>
    </row>
    <row r="225" s="1" customFormat="1" ht="30" customHeight="1" spans="1:9">
      <c r="A225" s="6">
        <v>223</v>
      </c>
      <c r="B225" s="6" t="str">
        <f>"48712023020422104822709"</f>
        <v>48712023020422104822709</v>
      </c>
      <c r="C225" s="6" t="str">
        <f t="shared" si="55"/>
        <v>0101</v>
      </c>
      <c r="D225" s="6" t="s">
        <v>10</v>
      </c>
      <c r="E225" s="6" t="s">
        <v>11</v>
      </c>
      <c r="F225" s="6" t="str">
        <f>"马啸宇"</f>
        <v>马啸宇</v>
      </c>
      <c r="G225" s="6" t="str">
        <f t="shared" si="62"/>
        <v>女</v>
      </c>
      <c r="H225" s="6" t="str">
        <f>"1998-06-02"</f>
        <v>1998-06-02</v>
      </c>
      <c r="I225" s="6"/>
    </row>
    <row r="226" s="1" customFormat="1" ht="30" customHeight="1" spans="1:9">
      <c r="A226" s="6">
        <v>224</v>
      </c>
      <c r="B226" s="6" t="str">
        <f>"48712023020502070822968"</f>
        <v>48712023020502070822968</v>
      </c>
      <c r="C226" s="6" t="str">
        <f t="shared" si="55"/>
        <v>0101</v>
      </c>
      <c r="D226" s="6" t="s">
        <v>10</v>
      </c>
      <c r="E226" s="6" t="s">
        <v>11</v>
      </c>
      <c r="F226" s="6" t="str">
        <f>"陈书柏"</f>
        <v>陈书柏</v>
      </c>
      <c r="G226" s="6" t="str">
        <f t="shared" si="61"/>
        <v>男</v>
      </c>
      <c r="H226" s="6" t="str">
        <f>"1998-06-15"</f>
        <v>1998-06-15</v>
      </c>
      <c r="I226" s="6"/>
    </row>
    <row r="227" s="1" customFormat="1" ht="30" customHeight="1" spans="1:9">
      <c r="A227" s="6">
        <v>225</v>
      </c>
      <c r="B227" s="6" t="str">
        <f>"48712023020505573322981"</f>
        <v>48712023020505573322981</v>
      </c>
      <c r="C227" s="6" t="str">
        <f t="shared" si="55"/>
        <v>0101</v>
      </c>
      <c r="D227" s="6" t="s">
        <v>10</v>
      </c>
      <c r="E227" s="6" t="s">
        <v>11</v>
      </c>
      <c r="F227" s="6" t="str">
        <f>"沙颖"</f>
        <v>沙颖</v>
      </c>
      <c r="G227" s="6" t="str">
        <f t="shared" si="62"/>
        <v>女</v>
      </c>
      <c r="H227" s="6" t="str">
        <f>"1991-06-20"</f>
        <v>1991-06-20</v>
      </c>
      <c r="I227" s="6"/>
    </row>
    <row r="228" s="1" customFormat="1" ht="30" customHeight="1" spans="1:9">
      <c r="A228" s="6">
        <v>226</v>
      </c>
      <c r="B228" s="6" t="str">
        <f>"48712023020508590223019"</f>
        <v>48712023020508590223019</v>
      </c>
      <c r="C228" s="6" t="str">
        <f t="shared" si="55"/>
        <v>0101</v>
      </c>
      <c r="D228" s="6" t="s">
        <v>10</v>
      </c>
      <c r="E228" s="6" t="s">
        <v>11</v>
      </c>
      <c r="F228" s="6" t="str">
        <f>"蒋学龙"</f>
        <v>蒋学龙</v>
      </c>
      <c r="G228" s="6" t="str">
        <f t="shared" si="61"/>
        <v>男</v>
      </c>
      <c r="H228" s="6" t="str">
        <f>"1997-07-14"</f>
        <v>1997-07-14</v>
      </c>
      <c r="I228" s="6"/>
    </row>
    <row r="229" s="1" customFormat="1" ht="30" customHeight="1" spans="1:9">
      <c r="A229" s="6">
        <v>227</v>
      </c>
      <c r="B229" s="6" t="str">
        <f>"48712023020509303523047"</f>
        <v>48712023020509303523047</v>
      </c>
      <c r="C229" s="6" t="str">
        <f t="shared" si="55"/>
        <v>0101</v>
      </c>
      <c r="D229" s="6" t="s">
        <v>10</v>
      </c>
      <c r="E229" s="6" t="s">
        <v>11</v>
      </c>
      <c r="F229" s="6" t="str">
        <f>"胡许颜"</f>
        <v>胡许颜</v>
      </c>
      <c r="G229" s="6" t="str">
        <f t="shared" si="61"/>
        <v>男</v>
      </c>
      <c r="H229" s="6" t="str">
        <f>"1993-05-05"</f>
        <v>1993-05-05</v>
      </c>
      <c r="I229" s="6"/>
    </row>
    <row r="230" s="1" customFormat="1" ht="30" customHeight="1" spans="1:9">
      <c r="A230" s="6">
        <v>228</v>
      </c>
      <c r="B230" s="6" t="str">
        <f>"48712023020511323523273"</f>
        <v>48712023020511323523273</v>
      </c>
      <c r="C230" s="6" t="str">
        <f t="shared" si="55"/>
        <v>0101</v>
      </c>
      <c r="D230" s="6" t="s">
        <v>10</v>
      </c>
      <c r="E230" s="6" t="s">
        <v>11</v>
      </c>
      <c r="F230" s="6" t="str">
        <f>"符业靖"</f>
        <v>符业靖</v>
      </c>
      <c r="G230" s="6" t="str">
        <f t="shared" ref="G230:G235" si="63">"女"</f>
        <v>女</v>
      </c>
      <c r="H230" s="6" t="str">
        <f>"2001-02-10"</f>
        <v>2001-02-10</v>
      </c>
      <c r="I230" s="6"/>
    </row>
    <row r="231" s="1" customFormat="1" ht="30" customHeight="1" spans="1:9">
      <c r="A231" s="6">
        <v>229</v>
      </c>
      <c r="B231" s="6" t="str">
        <f>"48712023020511450723298"</f>
        <v>48712023020511450723298</v>
      </c>
      <c r="C231" s="6" t="str">
        <f t="shared" si="55"/>
        <v>0101</v>
      </c>
      <c r="D231" s="6" t="s">
        <v>10</v>
      </c>
      <c r="E231" s="6" t="s">
        <v>11</v>
      </c>
      <c r="F231" s="6" t="str">
        <f>"宋兆丹"</f>
        <v>宋兆丹</v>
      </c>
      <c r="G231" s="6" t="str">
        <f t="shared" si="63"/>
        <v>女</v>
      </c>
      <c r="H231" s="6" t="str">
        <f>"1991-09-10"</f>
        <v>1991-09-10</v>
      </c>
      <c r="I231" s="6"/>
    </row>
    <row r="232" s="1" customFormat="1" ht="30" customHeight="1" spans="1:9">
      <c r="A232" s="6">
        <v>230</v>
      </c>
      <c r="B232" s="6" t="str">
        <f>"48712023020511582523323"</f>
        <v>48712023020511582523323</v>
      </c>
      <c r="C232" s="6" t="str">
        <f t="shared" si="55"/>
        <v>0101</v>
      </c>
      <c r="D232" s="6" t="s">
        <v>10</v>
      </c>
      <c r="E232" s="6" t="s">
        <v>11</v>
      </c>
      <c r="F232" s="6" t="str">
        <f>"周鑫"</f>
        <v>周鑫</v>
      </c>
      <c r="G232" s="6" t="str">
        <f>"男"</f>
        <v>男</v>
      </c>
      <c r="H232" s="6" t="str">
        <f>"1998-09-28"</f>
        <v>1998-09-28</v>
      </c>
      <c r="I232" s="6"/>
    </row>
    <row r="233" s="1" customFormat="1" ht="30" customHeight="1" spans="1:9">
      <c r="A233" s="6">
        <v>231</v>
      </c>
      <c r="B233" s="6" t="str">
        <f>"48712023020514311523584"</f>
        <v>48712023020514311523584</v>
      </c>
      <c r="C233" s="6" t="str">
        <f t="shared" si="55"/>
        <v>0101</v>
      </c>
      <c r="D233" s="6" t="s">
        <v>10</v>
      </c>
      <c r="E233" s="6" t="s">
        <v>11</v>
      </c>
      <c r="F233" s="6" t="str">
        <f>"林梦媛"</f>
        <v>林梦媛</v>
      </c>
      <c r="G233" s="6" t="str">
        <f t="shared" si="63"/>
        <v>女</v>
      </c>
      <c r="H233" s="6" t="str">
        <f>"2000-06-18"</f>
        <v>2000-06-18</v>
      </c>
      <c r="I233" s="6"/>
    </row>
    <row r="234" s="1" customFormat="1" ht="30" customHeight="1" spans="1:9">
      <c r="A234" s="6">
        <v>232</v>
      </c>
      <c r="B234" s="6" t="str">
        <f>"48712023020514575223631"</f>
        <v>48712023020514575223631</v>
      </c>
      <c r="C234" s="6" t="str">
        <f t="shared" si="55"/>
        <v>0101</v>
      </c>
      <c r="D234" s="6" t="s">
        <v>10</v>
      </c>
      <c r="E234" s="6" t="s">
        <v>11</v>
      </c>
      <c r="F234" s="6" t="str">
        <f>"林娇丽"</f>
        <v>林娇丽</v>
      </c>
      <c r="G234" s="6" t="str">
        <f t="shared" si="63"/>
        <v>女</v>
      </c>
      <c r="H234" s="6" t="str">
        <f>"1994-09-15"</f>
        <v>1994-09-15</v>
      </c>
      <c r="I234" s="6"/>
    </row>
    <row r="235" s="1" customFormat="1" ht="30" customHeight="1" spans="1:9">
      <c r="A235" s="6">
        <v>233</v>
      </c>
      <c r="B235" s="6" t="str">
        <f>"48712023020515002923637"</f>
        <v>48712023020515002923637</v>
      </c>
      <c r="C235" s="6" t="str">
        <f t="shared" si="55"/>
        <v>0101</v>
      </c>
      <c r="D235" s="6" t="s">
        <v>10</v>
      </c>
      <c r="E235" s="6" t="s">
        <v>11</v>
      </c>
      <c r="F235" s="6" t="str">
        <f>"海琦"</f>
        <v>海琦</v>
      </c>
      <c r="G235" s="6" t="str">
        <f t="shared" si="63"/>
        <v>女</v>
      </c>
      <c r="H235" s="6" t="str">
        <f>"1996-07-04"</f>
        <v>1996-07-04</v>
      </c>
      <c r="I235" s="6"/>
    </row>
    <row r="236" s="1" customFormat="1" ht="30" customHeight="1" spans="1:9">
      <c r="A236" s="6">
        <v>234</v>
      </c>
      <c r="B236" s="6" t="str">
        <f>"48712023020515181123677"</f>
        <v>48712023020515181123677</v>
      </c>
      <c r="C236" s="6" t="str">
        <f t="shared" si="55"/>
        <v>0101</v>
      </c>
      <c r="D236" s="6" t="s">
        <v>10</v>
      </c>
      <c r="E236" s="6" t="s">
        <v>11</v>
      </c>
      <c r="F236" s="6" t="str">
        <f>"刘子杰"</f>
        <v>刘子杰</v>
      </c>
      <c r="G236" s="6" t="str">
        <f t="shared" ref="G236:G242" si="64">"男"</f>
        <v>男</v>
      </c>
      <c r="H236" s="6" t="str">
        <f>"1995-04-22"</f>
        <v>1995-04-22</v>
      </c>
      <c r="I236" s="6"/>
    </row>
    <row r="237" s="1" customFormat="1" ht="30" customHeight="1" spans="1:9">
      <c r="A237" s="6">
        <v>235</v>
      </c>
      <c r="B237" s="6" t="str">
        <f>"48712023020515324923707"</f>
        <v>48712023020515324923707</v>
      </c>
      <c r="C237" s="6" t="str">
        <f t="shared" si="55"/>
        <v>0101</v>
      </c>
      <c r="D237" s="6" t="s">
        <v>10</v>
      </c>
      <c r="E237" s="6" t="s">
        <v>11</v>
      </c>
      <c r="F237" s="6" t="str">
        <f>"李卓玥"</f>
        <v>李卓玥</v>
      </c>
      <c r="G237" s="6" t="str">
        <f>"女"</f>
        <v>女</v>
      </c>
      <c r="H237" s="6" t="str">
        <f>"2000-12-02"</f>
        <v>2000-12-02</v>
      </c>
      <c r="I237" s="6"/>
    </row>
    <row r="238" s="1" customFormat="1" ht="30" customHeight="1" spans="1:9">
      <c r="A238" s="6">
        <v>236</v>
      </c>
      <c r="B238" s="6" t="str">
        <f>"48712023020515374123716"</f>
        <v>48712023020515374123716</v>
      </c>
      <c r="C238" s="6" t="str">
        <f t="shared" si="55"/>
        <v>0101</v>
      </c>
      <c r="D238" s="6" t="s">
        <v>10</v>
      </c>
      <c r="E238" s="6" t="s">
        <v>11</v>
      </c>
      <c r="F238" s="6" t="str">
        <f>"古威宗"</f>
        <v>古威宗</v>
      </c>
      <c r="G238" s="6" t="str">
        <f t="shared" si="64"/>
        <v>男</v>
      </c>
      <c r="H238" s="6" t="str">
        <f>"1999-05-29"</f>
        <v>1999-05-29</v>
      </c>
      <c r="I238" s="6"/>
    </row>
    <row r="239" s="1" customFormat="1" ht="30" customHeight="1" spans="1:9">
      <c r="A239" s="6">
        <v>237</v>
      </c>
      <c r="B239" s="6" t="str">
        <f>"48712023020516044723773"</f>
        <v>48712023020516044723773</v>
      </c>
      <c r="C239" s="6" t="str">
        <f t="shared" si="55"/>
        <v>0101</v>
      </c>
      <c r="D239" s="6" t="s">
        <v>10</v>
      </c>
      <c r="E239" s="6" t="s">
        <v>11</v>
      </c>
      <c r="F239" s="6" t="str">
        <f>"王威铮"</f>
        <v>王威铮</v>
      </c>
      <c r="G239" s="6" t="str">
        <f t="shared" si="64"/>
        <v>男</v>
      </c>
      <c r="H239" s="6" t="str">
        <f>"1999-02-02"</f>
        <v>1999-02-02</v>
      </c>
      <c r="I239" s="6"/>
    </row>
    <row r="240" s="1" customFormat="1" ht="30" customHeight="1" spans="1:9">
      <c r="A240" s="6">
        <v>238</v>
      </c>
      <c r="B240" s="6" t="str">
        <f>"48712023020516083623787"</f>
        <v>48712023020516083623787</v>
      </c>
      <c r="C240" s="6" t="str">
        <f t="shared" si="55"/>
        <v>0101</v>
      </c>
      <c r="D240" s="6" t="s">
        <v>10</v>
      </c>
      <c r="E240" s="6" t="s">
        <v>11</v>
      </c>
      <c r="F240" s="6" t="str">
        <f>"罗明前"</f>
        <v>罗明前</v>
      </c>
      <c r="G240" s="6" t="str">
        <f t="shared" si="64"/>
        <v>男</v>
      </c>
      <c r="H240" s="6" t="str">
        <f>"1993-11-20"</f>
        <v>1993-11-20</v>
      </c>
      <c r="I240" s="6"/>
    </row>
    <row r="241" s="1" customFormat="1" ht="30" customHeight="1" spans="1:9">
      <c r="A241" s="6">
        <v>239</v>
      </c>
      <c r="B241" s="6" t="str">
        <f>"48712023020517361823990"</f>
        <v>48712023020517361823990</v>
      </c>
      <c r="C241" s="6" t="str">
        <f t="shared" si="55"/>
        <v>0101</v>
      </c>
      <c r="D241" s="6" t="s">
        <v>10</v>
      </c>
      <c r="E241" s="6" t="s">
        <v>11</v>
      </c>
      <c r="F241" s="6" t="str">
        <f>"朱健"</f>
        <v>朱健</v>
      </c>
      <c r="G241" s="6" t="str">
        <f t="shared" si="64"/>
        <v>男</v>
      </c>
      <c r="H241" s="6" t="str">
        <f>"1997-03-01"</f>
        <v>1997-03-01</v>
      </c>
      <c r="I241" s="6"/>
    </row>
    <row r="242" s="1" customFormat="1" ht="30" customHeight="1" spans="1:9">
      <c r="A242" s="6">
        <v>240</v>
      </c>
      <c r="B242" s="6" t="str">
        <f>"48712023020517480524008"</f>
        <v>48712023020517480524008</v>
      </c>
      <c r="C242" s="6" t="str">
        <f t="shared" si="55"/>
        <v>0101</v>
      </c>
      <c r="D242" s="6" t="s">
        <v>10</v>
      </c>
      <c r="E242" s="6" t="s">
        <v>11</v>
      </c>
      <c r="F242" s="6" t="str">
        <f>"李仁杰"</f>
        <v>李仁杰</v>
      </c>
      <c r="G242" s="6" t="str">
        <f t="shared" si="64"/>
        <v>男</v>
      </c>
      <c r="H242" s="6" t="str">
        <f>"1994-03-15"</f>
        <v>1994-03-15</v>
      </c>
      <c r="I242" s="6"/>
    </row>
    <row r="243" s="1" customFormat="1" ht="30" customHeight="1" spans="1:9">
      <c r="A243" s="6">
        <v>241</v>
      </c>
      <c r="B243" s="6" t="str">
        <f>"48712023020522083424602"</f>
        <v>48712023020522083424602</v>
      </c>
      <c r="C243" s="6" t="str">
        <f t="shared" si="55"/>
        <v>0101</v>
      </c>
      <c r="D243" s="6" t="s">
        <v>10</v>
      </c>
      <c r="E243" s="6" t="s">
        <v>11</v>
      </c>
      <c r="F243" s="6" t="str">
        <f>"陈诗钰"</f>
        <v>陈诗钰</v>
      </c>
      <c r="G243" s="6" t="str">
        <f t="shared" ref="G243:G245" si="65">"女"</f>
        <v>女</v>
      </c>
      <c r="H243" s="6" t="str">
        <f>"1998-07-27"</f>
        <v>1998-07-27</v>
      </c>
      <c r="I243" s="6"/>
    </row>
    <row r="244" s="1" customFormat="1" ht="30" customHeight="1" spans="1:9">
      <c r="A244" s="6">
        <v>242</v>
      </c>
      <c r="B244" s="6" t="str">
        <f>"48712023020523242824893"</f>
        <v>48712023020523242824893</v>
      </c>
      <c r="C244" s="6" t="str">
        <f t="shared" si="55"/>
        <v>0101</v>
      </c>
      <c r="D244" s="6" t="s">
        <v>10</v>
      </c>
      <c r="E244" s="6" t="s">
        <v>11</v>
      </c>
      <c r="F244" s="6" t="str">
        <f>"何慧慧"</f>
        <v>何慧慧</v>
      </c>
      <c r="G244" s="6" t="str">
        <f t="shared" si="65"/>
        <v>女</v>
      </c>
      <c r="H244" s="6" t="str">
        <f>"2000-01-18"</f>
        <v>2000-01-18</v>
      </c>
      <c r="I244" s="6"/>
    </row>
    <row r="245" s="1" customFormat="1" ht="30" customHeight="1" spans="1:9">
      <c r="A245" s="6">
        <v>243</v>
      </c>
      <c r="B245" s="6" t="str">
        <f>"48712023020600502825035"</f>
        <v>48712023020600502825035</v>
      </c>
      <c r="C245" s="6" t="str">
        <f t="shared" si="55"/>
        <v>0101</v>
      </c>
      <c r="D245" s="6" t="s">
        <v>10</v>
      </c>
      <c r="E245" s="6" t="s">
        <v>11</v>
      </c>
      <c r="F245" s="6" t="str">
        <f>"汤可芳"</f>
        <v>汤可芳</v>
      </c>
      <c r="G245" s="6" t="str">
        <f t="shared" si="65"/>
        <v>女</v>
      </c>
      <c r="H245" s="6" t="str">
        <f>"1994-05-02"</f>
        <v>1994-05-02</v>
      </c>
      <c r="I245" s="6"/>
    </row>
    <row r="246" s="1" customFormat="1" ht="30" customHeight="1" spans="1:9">
      <c r="A246" s="6">
        <v>244</v>
      </c>
      <c r="B246" s="6" t="str">
        <f>"48712023020602013025075"</f>
        <v>48712023020602013025075</v>
      </c>
      <c r="C246" s="6" t="str">
        <f t="shared" si="55"/>
        <v>0101</v>
      </c>
      <c r="D246" s="6" t="s">
        <v>10</v>
      </c>
      <c r="E246" s="6" t="s">
        <v>11</v>
      </c>
      <c r="F246" s="6" t="str">
        <f>"陈禄明"</f>
        <v>陈禄明</v>
      </c>
      <c r="G246" s="6" t="str">
        <f t="shared" ref="G246:G251" si="66">"男"</f>
        <v>男</v>
      </c>
      <c r="H246" s="6" t="str">
        <f>"1993-07-05"</f>
        <v>1993-07-05</v>
      </c>
      <c r="I246" s="6"/>
    </row>
    <row r="247" s="1" customFormat="1" ht="30" customHeight="1" spans="1:9">
      <c r="A247" s="6">
        <v>245</v>
      </c>
      <c r="B247" s="6" t="str">
        <f>"48712023020605430425089"</f>
        <v>48712023020605430425089</v>
      </c>
      <c r="C247" s="6" t="str">
        <f t="shared" si="55"/>
        <v>0101</v>
      </c>
      <c r="D247" s="6" t="s">
        <v>10</v>
      </c>
      <c r="E247" s="6" t="s">
        <v>11</v>
      </c>
      <c r="F247" s="6" t="str">
        <f>"石秋荫"</f>
        <v>石秋荫</v>
      </c>
      <c r="G247" s="6" t="str">
        <f t="shared" ref="G247:G250" si="67">"女"</f>
        <v>女</v>
      </c>
      <c r="H247" s="6" t="str">
        <f>"1987-06-24"</f>
        <v>1987-06-24</v>
      </c>
      <c r="I247" s="6"/>
    </row>
    <row r="248" s="1" customFormat="1" ht="30" customHeight="1" spans="1:9">
      <c r="A248" s="6">
        <v>246</v>
      </c>
      <c r="B248" s="6" t="str">
        <f>"48712023020608345825159"</f>
        <v>48712023020608345825159</v>
      </c>
      <c r="C248" s="6" t="str">
        <f t="shared" si="55"/>
        <v>0101</v>
      </c>
      <c r="D248" s="6" t="s">
        <v>10</v>
      </c>
      <c r="E248" s="6" t="s">
        <v>11</v>
      </c>
      <c r="F248" s="6" t="str">
        <f>"孙加强"</f>
        <v>孙加强</v>
      </c>
      <c r="G248" s="6" t="str">
        <f t="shared" si="66"/>
        <v>男</v>
      </c>
      <c r="H248" s="6" t="str">
        <f>"1998-11-11"</f>
        <v>1998-11-11</v>
      </c>
      <c r="I248" s="6"/>
    </row>
    <row r="249" s="1" customFormat="1" ht="30" customHeight="1" spans="1:9">
      <c r="A249" s="6">
        <v>247</v>
      </c>
      <c r="B249" s="6" t="str">
        <f>"48712023020608531725192"</f>
        <v>48712023020608531725192</v>
      </c>
      <c r="C249" s="6" t="str">
        <f t="shared" si="55"/>
        <v>0101</v>
      </c>
      <c r="D249" s="6" t="s">
        <v>10</v>
      </c>
      <c r="E249" s="6" t="s">
        <v>11</v>
      </c>
      <c r="F249" s="6" t="str">
        <f>"吴雯雯"</f>
        <v>吴雯雯</v>
      </c>
      <c r="G249" s="6" t="str">
        <f t="shared" si="67"/>
        <v>女</v>
      </c>
      <c r="H249" s="6" t="str">
        <f>"1996-02-13"</f>
        <v>1996-02-13</v>
      </c>
      <c r="I249" s="6"/>
    </row>
    <row r="250" s="1" customFormat="1" ht="30" customHeight="1" spans="1:9">
      <c r="A250" s="6">
        <v>248</v>
      </c>
      <c r="B250" s="6" t="str">
        <f>"48712023020608590825205"</f>
        <v>48712023020608590825205</v>
      </c>
      <c r="C250" s="6" t="str">
        <f t="shared" si="55"/>
        <v>0101</v>
      </c>
      <c r="D250" s="6" t="s">
        <v>10</v>
      </c>
      <c r="E250" s="6" t="s">
        <v>11</v>
      </c>
      <c r="F250" s="6" t="str">
        <f>"符小婉"</f>
        <v>符小婉</v>
      </c>
      <c r="G250" s="6" t="str">
        <f t="shared" si="67"/>
        <v>女</v>
      </c>
      <c r="H250" s="6" t="str">
        <f>"1993-04-10"</f>
        <v>1993-04-10</v>
      </c>
      <c r="I250" s="6"/>
    </row>
    <row r="251" s="1" customFormat="1" ht="30" customHeight="1" spans="1:9">
      <c r="A251" s="6">
        <v>249</v>
      </c>
      <c r="B251" s="6" t="str">
        <f>"48712023020609174125273"</f>
        <v>48712023020609174125273</v>
      </c>
      <c r="C251" s="6" t="str">
        <f t="shared" si="55"/>
        <v>0101</v>
      </c>
      <c r="D251" s="6" t="s">
        <v>10</v>
      </c>
      <c r="E251" s="6" t="s">
        <v>11</v>
      </c>
      <c r="F251" s="6" t="str">
        <f>"张健"</f>
        <v>张健</v>
      </c>
      <c r="G251" s="6" t="str">
        <f t="shared" si="66"/>
        <v>男</v>
      </c>
      <c r="H251" s="6" t="str">
        <f>"1998-02-15"</f>
        <v>1998-02-15</v>
      </c>
      <c r="I251" s="6"/>
    </row>
    <row r="252" s="1" customFormat="1" ht="30" customHeight="1" spans="1:9">
      <c r="A252" s="6">
        <v>250</v>
      </c>
      <c r="B252" s="6" t="str">
        <f>"48712023020610253225561"</f>
        <v>48712023020610253225561</v>
      </c>
      <c r="C252" s="6" t="str">
        <f t="shared" si="55"/>
        <v>0101</v>
      </c>
      <c r="D252" s="6" t="s">
        <v>10</v>
      </c>
      <c r="E252" s="6" t="s">
        <v>11</v>
      </c>
      <c r="F252" s="6" t="str">
        <f>"王曼珍"</f>
        <v>王曼珍</v>
      </c>
      <c r="G252" s="6" t="str">
        <f t="shared" ref="G252:G258" si="68">"女"</f>
        <v>女</v>
      </c>
      <c r="H252" s="6" t="str">
        <f>"1995-09-07"</f>
        <v>1995-09-07</v>
      </c>
      <c r="I252" s="6"/>
    </row>
    <row r="253" s="1" customFormat="1" ht="30" customHeight="1" spans="1:9">
      <c r="A253" s="6">
        <v>251</v>
      </c>
      <c r="B253" s="6" t="str">
        <f>"48712023020611000325702"</f>
        <v>48712023020611000325702</v>
      </c>
      <c r="C253" s="6" t="str">
        <f t="shared" si="55"/>
        <v>0101</v>
      </c>
      <c r="D253" s="6" t="s">
        <v>10</v>
      </c>
      <c r="E253" s="6" t="s">
        <v>11</v>
      </c>
      <c r="F253" s="6" t="str">
        <f>"曾伟峻"</f>
        <v>曾伟峻</v>
      </c>
      <c r="G253" s="6" t="str">
        <f>"男"</f>
        <v>男</v>
      </c>
      <c r="H253" s="6" t="str">
        <f>"1996-08-28"</f>
        <v>1996-08-28</v>
      </c>
      <c r="I253" s="6"/>
    </row>
    <row r="254" s="1" customFormat="1" ht="30" customHeight="1" spans="1:9">
      <c r="A254" s="6">
        <v>252</v>
      </c>
      <c r="B254" s="6" t="str">
        <f>"48712023020611005625709"</f>
        <v>48712023020611005625709</v>
      </c>
      <c r="C254" s="6" t="str">
        <f t="shared" si="55"/>
        <v>0101</v>
      </c>
      <c r="D254" s="6" t="s">
        <v>10</v>
      </c>
      <c r="E254" s="6" t="s">
        <v>11</v>
      </c>
      <c r="F254" s="6" t="str">
        <f>"徐兵兵"</f>
        <v>徐兵兵</v>
      </c>
      <c r="G254" s="6" t="str">
        <f t="shared" si="68"/>
        <v>女</v>
      </c>
      <c r="H254" s="6" t="str">
        <f>"1999-12-02"</f>
        <v>1999-12-02</v>
      </c>
      <c r="I254" s="6"/>
    </row>
    <row r="255" s="1" customFormat="1" ht="30" customHeight="1" spans="1:9">
      <c r="A255" s="6">
        <v>253</v>
      </c>
      <c r="B255" s="6" t="str">
        <f>"48712023020611043925728"</f>
        <v>48712023020611043925728</v>
      </c>
      <c r="C255" s="6" t="str">
        <f t="shared" si="55"/>
        <v>0101</v>
      </c>
      <c r="D255" s="6" t="s">
        <v>10</v>
      </c>
      <c r="E255" s="6" t="s">
        <v>11</v>
      </c>
      <c r="F255" s="6" t="str">
        <f>"吴育大"</f>
        <v>吴育大</v>
      </c>
      <c r="G255" s="6" t="str">
        <f>"男"</f>
        <v>男</v>
      </c>
      <c r="H255" s="6" t="str">
        <f>"1987-07-27"</f>
        <v>1987-07-27</v>
      </c>
      <c r="I255" s="6"/>
    </row>
    <row r="256" s="1" customFormat="1" ht="30" customHeight="1" spans="1:9">
      <c r="A256" s="6">
        <v>254</v>
      </c>
      <c r="B256" s="6" t="str">
        <f>"48712023020611235625805"</f>
        <v>48712023020611235625805</v>
      </c>
      <c r="C256" s="6" t="str">
        <f t="shared" si="55"/>
        <v>0101</v>
      </c>
      <c r="D256" s="6" t="s">
        <v>10</v>
      </c>
      <c r="E256" s="6" t="s">
        <v>11</v>
      </c>
      <c r="F256" s="6" t="str">
        <f>"封美仪"</f>
        <v>封美仪</v>
      </c>
      <c r="G256" s="6" t="str">
        <f t="shared" si="68"/>
        <v>女</v>
      </c>
      <c r="H256" s="6" t="str">
        <f>"2002-07-12"</f>
        <v>2002-07-12</v>
      </c>
      <c r="I256" s="6"/>
    </row>
    <row r="257" s="1" customFormat="1" ht="30" customHeight="1" spans="1:9">
      <c r="A257" s="6">
        <v>255</v>
      </c>
      <c r="B257" s="6" t="str">
        <f>"48712023020612044825934"</f>
        <v>48712023020612044825934</v>
      </c>
      <c r="C257" s="6" t="str">
        <f t="shared" si="55"/>
        <v>0101</v>
      </c>
      <c r="D257" s="6" t="s">
        <v>10</v>
      </c>
      <c r="E257" s="6" t="s">
        <v>11</v>
      </c>
      <c r="F257" s="6" t="str">
        <f>"訾宇轩"</f>
        <v>訾宇轩</v>
      </c>
      <c r="G257" s="6" t="str">
        <f t="shared" si="68"/>
        <v>女</v>
      </c>
      <c r="H257" s="6" t="str">
        <f>"1997-02-01"</f>
        <v>1997-02-01</v>
      </c>
      <c r="I257" s="6"/>
    </row>
    <row r="258" s="1" customFormat="1" ht="30" customHeight="1" spans="1:9">
      <c r="A258" s="6">
        <v>256</v>
      </c>
      <c r="B258" s="6" t="str">
        <f>"48712023020612530926086"</f>
        <v>48712023020612530926086</v>
      </c>
      <c r="C258" s="6" t="str">
        <f t="shared" si="55"/>
        <v>0101</v>
      </c>
      <c r="D258" s="6" t="s">
        <v>10</v>
      </c>
      <c r="E258" s="6" t="s">
        <v>11</v>
      </c>
      <c r="F258" s="6" t="str">
        <f>"席丽华"</f>
        <v>席丽华</v>
      </c>
      <c r="G258" s="6" t="str">
        <f t="shared" si="68"/>
        <v>女</v>
      </c>
      <c r="H258" s="6" t="str">
        <f>"1999-08-21"</f>
        <v>1999-08-21</v>
      </c>
      <c r="I258" s="6"/>
    </row>
    <row r="259" s="1" customFormat="1" ht="30" customHeight="1" spans="1:9">
      <c r="A259" s="6">
        <v>257</v>
      </c>
      <c r="B259" s="6" t="str">
        <f>"48712023020612531226087"</f>
        <v>48712023020612531226087</v>
      </c>
      <c r="C259" s="6" t="str">
        <f t="shared" ref="C259:C299" si="69">"0101"</f>
        <v>0101</v>
      </c>
      <c r="D259" s="6" t="s">
        <v>10</v>
      </c>
      <c r="E259" s="6" t="s">
        <v>11</v>
      </c>
      <c r="F259" s="6" t="str">
        <f>"李春明"</f>
        <v>李春明</v>
      </c>
      <c r="G259" s="6" t="str">
        <f t="shared" ref="G259:G263" si="70">"男"</f>
        <v>男</v>
      </c>
      <c r="H259" s="6" t="str">
        <f>"1994-12-28"</f>
        <v>1994-12-28</v>
      </c>
      <c r="I259" s="6"/>
    </row>
    <row r="260" s="1" customFormat="1" ht="30" customHeight="1" spans="1:9">
      <c r="A260" s="6">
        <v>258</v>
      </c>
      <c r="B260" s="6" t="str">
        <f>"48712023020613053426137"</f>
        <v>48712023020613053426137</v>
      </c>
      <c r="C260" s="6" t="str">
        <f t="shared" si="69"/>
        <v>0101</v>
      </c>
      <c r="D260" s="6" t="s">
        <v>10</v>
      </c>
      <c r="E260" s="6" t="s">
        <v>11</v>
      </c>
      <c r="F260" s="6" t="str">
        <f>"王燕红"</f>
        <v>王燕红</v>
      </c>
      <c r="G260" s="6" t="str">
        <f t="shared" ref="G260:G264" si="71">"女"</f>
        <v>女</v>
      </c>
      <c r="H260" s="6" t="str">
        <f>"1999-06-13"</f>
        <v>1999-06-13</v>
      </c>
      <c r="I260" s="6"/>
    </row>
    <row r="261" s="1" customFormat="1" ht="30" customHeight="1" spans="1:9">
      <c r="A261" s="6">
        <v>259</v>
      </c>
      <c r="B261" s="6" t="str">
        <f>"48712023020614045026356"</f>
        <v>48712023020614045026356</v>
      </c>
      <c r="C261" s="6" t="str">
        <f t="shared" si="69"/>
        <v>0101</v>
      </c>
      <c r="D261" s="6" t="s">
        <v>10</v>
      </c>
      <c r="E261" s="6" t="s">
        <v>11</v>
      </c>
      <c r="F261" s="6" t="str">
        <f>"黄玲"</f>
        <v>黄玲</v>
      </c>
      <c r="G261" s="6" t="str">
        <f t="shared" si="71"/>
        <v>女</v>
      </c>
      <c r="H261" s="6" t="str">
        <f>"1996-11-27"</f>
        <v>1996-11-27</v>
      </c>
      <c r="I261" s="6"/>
    </row>
    <row r="262" s="1" customFormat="1" ht="30" customHeight="1" spans="1:9">
      <c r="A262" s="6">
        <v>260</v>
      </c>
      <c r="B262" s="6" t="str">
        <f>"48712023020615114226687"</f>
        <v>48712023020615114226687</v>
      </c>
      <c r="C262" s="6" t="str">
        <f t="shared" si="69"/>
        <v>0101</v>
      </c>
      <c r="D262" s="6" t="s">
        <v>10</v>
      </c>
      <c r="E262" s="6" t="s">
        <v>11</v>
      </c>
      <c r="F262" s="6" t="str">
        <f>"仲伟彬"</f>
        <v>仲伟彬</v>
      </c>
      <c r="G262" s="6" t="str">
        <f t="shared" si="70"/>
        <v>男</v>
      </c>
      <c r="H262" s="6" t="str">
        <f>"1991-07-30"</f>
        <v>1991-07-30</v>
      </c>
      <c r="I262" s="6"/>
    </row>
    <row r="263" s="1" customFormat="1" ht="30" customHeight="1" spans="1:9">
      <c r="A263" s="6">
        <v>261</v>
      </c>
      <c r="B263" s="6" t="str">
        <f>"48712023020615161226712"</f>
        <v>48712023020615161226712</v>
      </c>
      <c r="C263" s="6" t="str">
        <f t="shared" si="69"/>
        <v>0101</v>
      </c>
      <c r="D263" s="6" t="s">
        <v>10</v>
      </c>
      <c r="E263" s="6" t="s">
        <v>11</v>
      </c>
      <c r="F263" s="6" t="str">
        <f>"张洪铭"</f>
        <v>张洪铭</v>
      </c>
      <c r="G263" s="6" t="str">
        <f t="shared" si="70"/>
        <v>男</v>
      </c>
      <c r="H263" s="6" t="str">
        <f>"1996-06-18"</f>
        <v>1996-06-18</v>
      </c>
      <c r="I263" s="6"/>
    </row>
    <row r="264" s="1" customFormat="1" ht="30" customHeight="1" spans="1:9">
      <c r="A264" s="6">
        <v>262</v>
      </c>
      <c r="B264" s="6" t="str">
        <f>"48712023020615211126738"</f>
        <v>48712023020615211126738</v>
      </c>
      <c r="C264" s="6" t="str">
        <f t="shared" si="69"/>
        <v>0101</v>
      </c>
      <c r="D264" s="6" t="s">
        <v>10</v>
      </c>
      <c r="E264" s="6" t="s">
        <v>11</v>
      </c>
      <c r="F264" s="6" t="str">
        <f>"黎盈"</f>
        <v>黎盈</v>
      </c>
      <c r="G264" s="6" t="str">
        <f t="shared" si="71"/>
        <v>女</v>
      </c>
      <c r="H264" s="6" t="str">
        <f>"2000-02-05"</f>
        <v>2000-02-05</v>
      </c>
      <c r="I264" s="6"/>
    </row>
    <row r="265" s="1" customFormat="1" ht="30" customHeight="1" spans="1:9">
      <c r="A265" s="6">
        <v>263</v>
      </c>
      <c r="B265" s="6" t="str">
        <f>"48712023020615285726779"</f>
        <v>48712023020615285726779</v>
      </c>
      <c r="C265" s="6" t="str">
        <f t="shared" si="69"/>
        <v>0101</v>
      </c>
      <c r="D265" s="6" t="s">
        <v>10</v>
      </c>
      <c r="E265" s="6" t="s">
        <v>11</v>
      </c>
      <c r="F265" s="6" t="str">
        <f>"周聪"</f>
        <v>周聪</v>
      </c>
      <c r="G265" s="6" t="str">
        <f t="shared" ref="G265:G269" si="72">"男"</f>
        <v>男</v>
      </c>
      <c r="H265" s="6" t="str">
        <f>"1993-12-10"</f>
        <v>1993-12-10</v>
      </c>
      <c r="I265" s="6"/>
    </row>
    <row r="266" s="1" customFormat="1" ht="30" customHeight="1" spans="1:9">
      <c r="A266" s="6">
        <v>264</v>
      </c>
      <c r="B266" s="6" t="str">
        <f>"48712023020615365826828"</f>
        <v>48712023020615365826828</v>
      </c>
      <c r="C266" s="6" t="str">
        <f t="shared" si="69"/>
        <v>0101</v>
      </c>
      <c r="D266" s="6" t="s">
        <v>10</v>
      </c>
      <c r="E266" s="6" t="s">
        <v>11</v>
      </c>
      <c r="F266" s="6" t="str">
        <f>"黎萱"</f>
        <v>黎萱</v>
      </c>
      <c r="G266" s="6" t="str">
        <f t="shared" ref="G266:G272" si="73">"女"</f>
        <v>女</v>
      </c>
      <c r="H266" s="6" t="str">
        <f>"2000-07-04"</f>
        <v>2000-07-04</v>
      </c>
      <c r="I266" s="6"/>
    </row>
    <row r="267" s="1" customFormat="1" ht="30" customHeight="1" spans="1:9">
      <c r="A267" s="6">
        <v>265</v>
      </c>
      <c r="B267" s="6" t="str">
        <f>"48712023020615473926870"</f>
        <v>48712023020615473926870</v>
      </c>
      <c r="C267" s="6" t="str">
        <f t="shared" si="69"/>
        <v>0101</v>
      </c>
      <c r="D267" s="6" t="s">
        <v>10</v>
      </c>
      <c r="E267" s="6" t="s">
        <v>11</v>
      </c>
      <c r="F267" s="6" t="str">
        <f>"邓菁菁"</f>
        <v>邓菁菁</v>
      </c>
      <c r="G267" s="6" t="str">
        <f t="shared" si="73"/>
        <v>女</v>
      </c>
      <c r="H267" s="6" t="str">
        <f>"1991-05-02"</f>
        <v>1991-05-02</v>
      </c>
      <c r="I267" s="6"/>
    </row>
    <row r="268" s="1" customFormat="1" ht="30" customHeight="1" spans="1:9">
      <c r="A268" s="6">
        <v>266</v>
      </c>
      <c r="B268" s="6" t="str">
        <f>"48712023020616101326996"</f>
        <v>48712023020616101326996</v>
      </c>
      <c r="C268" s="6" t="str">
        <f t="shared" si="69"/>
        <v>0101</v>
      </c>
      <c r="D268" s="6" t="s">
        <v>10</v>
      </c>
      <c r="E268" s="6" t="s">
        <v>11</v>
      </c>
      <c r="F268" s="6" t="str">
        <f>"李玉墩"</f>
        <v>李玉墩</v>
      </c>
      <c r="G268" s="6" t="str">
        <f t="shared" si="72"/>
        <v>男</v>
      </c>
      <c r="H268" s="6" t="str">
        <f>"1991-07-24"</f>
        <v>1991-07-24</v>
      </c>
      <c r="I268" s="6"/>
    </row>
    <row r="269" s="1" customFormat="1" ht="30" customHeight="1" spans="1:9">
      <c r="A269" s="6">
        <v>267</v>
      </c>
      <c r="B269" s="6" t="str">
        <f>"48712023020616245927077"</f>
        <v>48712023020616245927077</v>
      </c>
      <c r="C269" s="6" t="str">
        <f t="shared" si="69"/>
        <v>0101</v>
      </c>
      <c r="D269" s="6" t="s">
        <v>10</v>
      </c>
      <c r="E269" s="6" t="s">
        <v>11</v>
      </c>
      <c r="F269" s="6" t="str">
        <f>"陈世念"</f>
        <v>陈世念</v>
      </c>
      <c r="G269" s="6" t="str">
        <f t="shared" si="72"/>
        <v>男</v>
      </c>
      <c r="H269" s="6" t="str">
        <f>"1989-05-28"</f>
        <v>1989-05-28</v>
      </c>
      <c r="I269" s="6"/>
    </row>
    <row r="270" s="1" customFormat="1" ht="30" customHeight="1" spans="1:9">
      <c r="A270" s="6">
        <v>268</v>
      </c>
      <c r="B270" s="6" t="str">
        <f>"48712023020616271427093"</f>
        <v>48712023020616271427093</v>
      </c>
      <c r="C270" s="6" t="str">
        <f t="shared" si="69"/>
        <v>0101</v>
      </c>
      <c r="D270" s="6" t="s">
        <v>10</v>
      </c>
      <c r="E270" s="6" t="s">
        <v>11</v>
      </c>
      <c r="F270" s="6" t="str">
        <f>"胡神茵"</f>
        <v>胡神茵</v>
      </c>
      <c r="G270" s="6" t="str">
        <f t="shared" si="73"/>
        <v>女</v>
      </c>
      <c r="H270" s="6" t="str">
        <f>"1997-08-27"</f>
        <v>1997-08-27</v>
      </c>
      <c r="I270" s="6"/>
    </row>
    <row r="271" s="1" customFormat="1" ht="30" customHeight="1" spans="1:9">
      <c r="A271" s="6">
        <v>269</v>
      </c>
      <c r="B271" s="6" t="str">
        <f>"48712023020617062427222"</f>
        <v>48712023020617062427222</v>
      </c>
      <c r="C271" s="6" t="str">
        <f t="shared" si="69"/>
        <v>0101</v>
      </c>
      <c r="D271" s="6" t="s">
        <v>10</v>
      </c>
      <c r="E271" s="6" t="s">
        <v>11</v>
      </c>
      <c r="F271" s="6" t="str">
        <f>"林梦洁"</f>
        <v>林梦洁</v>
      </c>
      <c r="G271" s="6" t="str">
        <f t="shared" si="73"/>
        <v>女</v>
      </c>
      <c r="H271" s="6" t="str">
        <f>"1993-01-31"</f>
        <v>1993-01-31</v>
      </c>
      <c r="I271" s="6"/>
    </row>
    <row r="272" s="1" customFormat="1" ht="30" customHeight="1" spans="1:9">
      <c r="A272" s="6">
        <v>270</v>
      </c>
      <c r="B272" s="6" t="str">
        <f>"48712023020617070627224"</f>
        <v>48712023020617070627224</v>
      </c>
      <c r="C272" s="6" t="str">
        <f t="shared" si="69"/>
        <v>0101</v>
      </c>
      <c r="D272" s="6" t="s">
        <v>10</v>
      </c>
      <c r="E272" s="6" t="s">
        <v>11</v>
      </c>
      <c r="F272" s="6" t="str">
        <f>"张敏敏"</f>
        <v>张敏敏</v>
      </c>
      <c r="G272" s="6" t="str">
        <f t="shared" si="73"/>
        <v>女</v>
      </c>
      <c r="H272" s="6" t="str">
        <f>"1999-09-04"</f>
        <v>1999-09-04</v>
      </c>
      <c r="I272" s="6"/>
    </row>
    <row r="273" s="1" customFormat="1" ht="30" customHeight="1" spans="1:9">
      <c r="A273" s="6">
        <v>271</v>
      </c>
      <c r="B273" s="6" t="str">
        <f>"48712023020618274327259"</f>
        <v>48712023020618274327259</v>
      </c>
      <c r="C273" s="6" t="str">
        <f t="shared" si="69"/>
        <v>0101</v>
      </c>
      <c r="D273" s="6" t="s">
        <v>10</v>
      </c>
      <c r="E273" s="6" t="s">
        <v>11</v>
      </c>
      <c r="F273" s="6" t="str">
        <f>"韦俊烨"</f>
        <v>韦俊烨</v>
      </c>
      <c r="G273" s="6" t="str">
        <f t="shared" ref="G273:G277" si="74">"男"</f>
        <v>男</v>
      </c>
      <c r="H273" s="6" t="str">
        <f>"2000-01-02"</f>
        <v>2000-01-02</v>
      </c>
      <c r="I273" s="6"/>
    </row>
    <row r="274" s="1" customFormat="1" ht="30" customHeight="1" spans="1:9">
      <c r="A274" s="6">
        <v>272</v>
      </c>
      <c r="B274" s="6" t="str">
        <f>"48712023020618490827267"</f>
        <v>48712023020618490827267</v>
      </c>
      <c r="C274" s="6" t="str">
        <f t="shared" si="69"/>
        <v>0101</v>
      </c>
      <c r="D274" s="6" t="s">
        <v>10</v>
      </c>
      <c r="E274" s="6" t="s">
        <v>11</v>
      </c>
      <c r="F274" s="6" t="str">
        <f>"王中文"</f>
        <v>王中文</v>
      </c>
      <c r="G274" s="6" t="str">
        <f t="shared" si="74"/>
        <v>男</v>
      </c>
      <c r="H274" s="6" t="str">
        <f>"1990-08-26"</f>
        <v>1990-08-26</v>
      </c>
      <c r="I274" s="6"/>
    </row>
    <row r="275" s="1" customFormat="1" ht="30" customHeight="1" spans="1:9">
      <c r="A275" s="6">
        <v>273</v>
      </c>
      <c r="B275" s="6" t="str">
        <f>"48712023020619251127287"</f>
        <v>48712023020619251127287</v>
      </c>
      <c r="C275" s="6" t="str">
        <f t="shared" si="69"/>
        <v>0101</v>
      </c>
      <c r="D275" s="6" t="s">
        <v>10</v>
      </c>
      <c r="E275" s="6" t="s">
        <v>11</v>
      </c>
      <c r="F275" s="6" t="str">
        <f>"陈传玉"</f>
        <v>陈传玉</v>
      </c>
      <c r="G275" s="6" t="str">
        <f t="shared" ref="G275:G282" si="75">"女"</f>
        <v>女</v>
      </c>
      <c r="H275" s="6" t="str">
        <f>"1996-05-27"</f>
        <v>1996-05-27</v>
      </c>
      <c r="I275" s="6"/>
    </row>
    <row r="276" s="1" customFormat="1" ht="30" customHeight="1" spans="1:9">
      <c r="A276" s="6">
        <v>274</v>
      </c>
      <c r="B276" s="6" t="str">
        <f>"48712023020620463727307"</f>
        <v>48712023020620463727307</v>
      </c>
      <c r="C276" s="6" t="str">
        <f t="shared" si="69"/>
        <v>0101</v>
      </c>
      <c r="D276" s="6" t="s">
        <v>10</v>
      </c>
      <c r="E276" s="6" t="s">
        <v>11</v>
      </c>
      <c r="F276" s="6" t="str">
        <f>"瞿诗雨"</f>
        <v>瞿诗雨</v>
      </c>
      <c r="G276" s="6" t="str">
        <f t="shared" si="75"/>
        <v>女</v>
      </c>
      <c r="H276" s="6" t="str">
        <f>"1992-02-22"</f>
        <v>1992-02-22</v>
      </c>
      <c r="I276" s="6"/>
    </row>
    <row r="277" s="1" customFormat="1" ht="30" customHeight="1" spans="1:9">
      <c r="A277" s="6">
        <v>275</v>
      </c>
      <c r="B277" s="6" t="str">
        <f>"48712023020620572427311"</f>
        <v>48712023020620572427311</v>
      </c>
      <c r="C277" s="6" t="str">
        <f t="shared" si="69"/>
        <v>0101</v>
      </c>
      <c r="D277" s="6" t="s">
        <v>10</v>
      </c>
      <c r="E277" s="6" t="s">
        <v>11</v>
      </c>
      <c r="F277" s="6" t="str">
        <f>"王浩屹"</f>
        <v>王浩屹</v>
      </c>
      <c r="G277" s="6" t="str">
        <f t="shared" si="74"/>
        <v>男</v>
      </c>
      <c r="H277" s="6" t="str">
        <f>"1998-06-04"</f>
        <v>1998-06-04</v>
      </c>
      <c r="I277" s="6"/>
    </row>
    <row r="278" s="1" customFormat="1" ht="30" customHeight="1" spans="1:9">
      <c r="A278" s="6">
        <v>276</v>
      </c>
      <c r="B278" s="6" t="str">
        <f>"48712023020620572827312"</f>
        <v>48712023020620572827312</v>
      </c>
      <c r="C278" s="6" t="str">
        <f t="shared" si="69"/>
        <v>0101</v>
      </c>
      <c r="D278" s="6" t="s">
        <v>10</v>
      </c>
      <c r="E278" s="6" t="s">
        <v>11</v>
      </c>
      <c r="F278" s="6" t="str">
        <f>"钟小碧"</f>
        <v>钟小碧</v>
      </c>
      <c r="G278" s="6" t="str">
        <f t="shared" si="75"/>
        <v>女</v>
      </c>
      <c r="H278" s="6" t="str">
        <f>"1993-07-09"</f>
        <v>1993-07-09</v>
      </c>
      <c r="I278" s="6"/>
    </row>
    <row r="279" s="1" customFormat="1" ht="30" customHeight="1" spans="1:9">
      <c r="A279" s="6">
        <v>277</v>
      </c>
      <c r="B279" s="6" t="str">
        <f>"48712023020621402527332"</f>
        <v>48712023020621402527332</v>
      </c>
      <c r="C279" s="6" t="str">
        <f t="shared" si="69"/>
        <v>0101</v>
      </c>
      <c r="D279" s="6" t="s">
        <v>10</v>
      </c>
      <c r="E279" s="6" t="s">
        <v>11</v>
      </c>
      <c r="F279" s="6" t="str">
        <f>"符翎"</f>
        <v>符翎</v>
      </c>
      <c r="G279" s="6" t="str">
        <f t="shared" si="75"/>
        <v>女</v>
      </c>
      <c r="H279" s="6" t="str">
        <f>"1994-10-25"</f>
        <v>1994-10-25</v>
      </c>
      <c r="I279" s="6"/>
    </row>
    <row r="280" s="1" customFormat="1" ht="30" customHeight="1" spans="1:9">
      <c r="A280" s="6">
        <v>278</v>
      </c>
      <c r="B280" s="6" t="str">
        <f>"48712023020622545727364"</f>
        <v>48712023020622545727364</v>
      </c>
      <c r="C280" s="6" t="str">
        <f t="shared" si="69"/>
        <v>0101</v>
      </c>
      <c r="D280" s="6" t="s">
        <v>10</v>
      </c>
      <c r="E280" s="6" t="s">
        <v>11</v>
      </c>
      <c r="F280" s="6" t="str">
        <f>"谭渟爻"</f>
        <v>谭渟爻</v>
      </c>
      <c r="G280" s="6" t="str">
        <f t="shared" si="75"/>
        <v>女</v>
      </c>
      <c r="H280" s="6" t="str">
        <f>"1999-04-14"</f>
        <v>1999-04-14</v>
      </c>
      <c r="I280" s="6"/>
    </row>
    <row r="281" s="1" customFormat="1" ht="30" customHeight="1" spans="1:9">
      <c r="A281" s="6">
        <v>279</v>
      </c>
      <c r="B281" s="6" t="str">
        <f>"48712023020623205427379"</f>
        <v>48712023020623205427379</v>
      </c>
      <c r="C281" s="6" t="str">
        <f t="shared" si="69"/>
        <v>0101</v>
      </c>
      <c r="D281" s="6" t="s">
        <v>10</v>
      </c>
      <c r="E281" s="6" t="s">
        <v>11</v>
      </c>
      <c r="F281" s="6" t="str">
        <f>"申一村"</f>
        <v>申一村</v>
      </c>
      <c r="G281" s="6" t="str">
        <f t="shared" si="75"/>
        <v>女</v>
      </c>
      <c r="H281" s="6" t="str">
        <f>"1996-06-06"</f>
        <v>1996-06-06</v>
      </c>
      <c r="I281" s="6"/>
    </row>
    <row r="282" s="1" customFormat="1" ht="30" customHeight="1" spans="1:9">
      <c r="A282" s="6">
        <v>280</v>
      </c>
      <c r="B282" s="6" t="str">
        <f>"48712023020623564027386"</f>
        <v>48712023020623564027386</v>
      </c>
      <c r="C282" s="6" t="str">
        <f t="shared" si="69"/>
        <v>0101</v>
      </c>
      <c r="D282" s="6" t="s">
        <v>10</v>
      </c>
      <c r="E282" s="6" t="s">
        <v>11</v>
      </c>
      <c r="F282" s="6" t="str">
        <f>"林莉"</f>
        <v>林莉</v>
      </c>
      <c r="G282" s="6" t="str">
        <f t="shared" si="75"/>
        <v>女</v>
      </c>
      <c r="H282" s="6" t="str">
        <f>"1998-10-16"</f>
        <v>1998-10-16</v>
      </c>
      <c r="I282" s="6"/>
    </row>
    <row r="283" s="1" customFormat="1" ht="30" customHeight="1" spans="1:9">
      <c r="A283" s="6">
        <v>281</v>
      </c>
      <c r="B283" s="6" t="str">
        <f>"48712023020703531627404"</f>
        <v>48712023020703531627404</v>
      </c>
      <c r="C283" s="6" t="str">
        <f t="shared" si="69"/>
        <v>0101</v>
      </c>
      <c r="D283" s="6" t="s">
        <v>10</v>
      </c>
      <c r="E283" s="6" t="s">
        <v>11</v>
      </c>
      <c r="F283" s="6" t="str">
        <f>"高恒礼"</f>
        <v>高恒礼</v>
      </c>
      <c r="G283" s="6" t="str">
        <f t="shared" ref="G283:G289" si="76">"男"</f>
        <v>男</v>
      </c>
      <c r="H283" s="6" t="str">
        <f>"1992-12-28"</f>
        <v>1992-12-28</v>
      </c>
      <c r="I283" s="6"/>
    </row>
    <row r="284" s="1" customFormat="1" ht="30" customHeight="1" spans="1:9">
      <c r="A284" s="6">
        <v>282</v>
      </c>
      <c r="B284" s="6" t="str">
        <f>"48712023020707114327406"</f>
        <v>48712023020707114327406</v>
      </c>
      <c r="C284" s="6" t="str">
        <f t="shared" si="69"/>
        <v>0101</v>
      </c>
      <c r="D284" s="6" t="s">
        <v>10</v>
      </c>
      <c r="E284" s="6" t="s">
        <v>11</v>
      </c>
      <c r="F284" s="6" t="str">
        <f>"唐青源"</f>
        <v>唐青源</v>
      </c>
      <c r="G284" s="6" t="str">
        <f t="shared" ref="G284:G287" si="77">"女"</f>
        <v>女</v>
      </c>
      <c r="H284" s="6" t="str">
        <f>"1997-01-05"</f>
        <v>1997-01-05</v>
      </c>
      <c r="I284" s="6"/>
    </row>
    <row r="285" s="1" customFormat="1" ht="30" customHeight="1" spans="1:9">
      <c r="A285" s="6">
        <v>283</v>
      </c>
      <c r="B285" s="6" t="str">
        <f>"48712023020708191827411"</f>
        <v>48712023020708191827411</v>
      </c>
      <c r="C285" s="6" t="str">
        <f t="shared" si="69"/>
        <v>0101</v>
      </c>
      <c r="D285" s="6" t="s">
        <v>10</v>
      </c>
      <c r="E285" s="6" t="s">
        <v>11</v>
      </c>
      <c r="F285" s="6" t="str">
        <f>"王喜德"</f>
        <v>王喜德</v>
      </c>
      <c r="G285" s="6" t="str">
        <f t="shared" si="76"/>
        <v>男</v>
      </c>
      <c r="H285" s="6" t="str">
        <f>"1998-01-26"</f>
        <v>1998-01-26</v>
      </c>
      <c r="I285" s="6"/>
    </row>
    <row r="286" s="1" customFormat="1" ht="30" customHeight="1" spans="1:9">
      <c r="A286" s="6">
        <v>284</v>
      </c>
      <c r="B286" s="6" t="str">
        <f>"48712023020708523627425"</f>
        <v>48712023020708523627425</v>
      </c>
      <c r="C286" s="6" t="str">
        <f t="shared" si="69"/>
        <v>0101</v>
      </c>
      <c r="D286" s="6" t="s">
        <v>10</v>
      </c>
      <c r="E286" s="6" t="s">
        <v>11</v>
      </c>
      <c r="F286" s="6" t="str">
        <f>"邹德颖"</f>
        <v>邹德颖</v>
      </c>
      <c r="G286" s="6" t="str">
        <f t="shared" si="77"/>
        <v>女</v>
      </c>
      <c r="H286" s="6" t="str">
        <f>"1996-04-04"</f>
        <v>1996-04-04</v>
      </c>
      <c r="I286" s="6"/>
    </row>
    <row r="287" s="1" customFormat="1" ht="30" customHeight="1" spans="1:9">
      <c r="A287" s="6">
        <v>285</v>
      </c>
      <c r="B287" s="6" t="str">
        <f>"48712023020708561927426"</f>
        <v>48712023020708561927426</v>
      </c>
      <c r="C287" s="6" t="str">
        <f t="shared" si="69"/>
        <v>0101</v>
      </c>
      <c r="D287" s="6" t="s">
        <v>10</v>
      </c>
      <c r="E287" s="6" t="s">
        <v>11</v>
      </c>
      <c r="F287" s="6" t="str">
        <f>"胡宝中"</f>
        <v>胡宝中</v>
      </c>
      <c r="G287" s="6" t="str">
        <f t="shared" si="77"/>
        <v>女</v>
      </c>
      <c r="H287" s="6" t="str">
        <f>"1996-08-31"</f>
        <v>1996-08-31</v>
      </c>
      <c r="I287" s="6"/>
    </row>
    <row r="288" s="1" customFormat="1" ht="30" customHeight="1" spans="1:9">
      <c r="A288" s="6">
        <v>286</v>
      </c>
      <c r="B288" s="6" t="str">
        <f>"48712023020709075727434"</f>
        <v>48712023020709075727434</v>
      </c>
      <c r="C288" s="6" t="str">
        <f t="shared" si="69"/>
        <v>0101</v>
      </c>
      <c r="D288" s="6" t="s">
        <v>10</v>
      </c>
      <c r="E288" s="6" t="s">
        <v>11</v>
      </c>
      <c r="F288" s="6" t="str">
        <f>"周家峰"</f>
        <v>周家峰</v>
      </c>
      <c r="G288" s="6" t="str">
        <f t="shared" si="76"/>
        <v>男</v>
      </c>
      <c r="H288" s="6" t="str">
        <f>"1997-06-10"</f>
        <v>1997-06-10</v>
      </c>
      <c r="I288" s="6"/>
    </row>
    <row r="289" s="1" customFormat="1" ht="30" customHeight="1" spans="1:9">
      <c r="A289" s="6">
        <v>287</v>
      </c>
      <c r="B289" s="6" t="str">
        <f>"48712023020709151927437"</f>
        <v>48712023020709151927437</v>
      </c>
      <c r="C289" s="6" t="str">
        <f t="shared" si="69"/>
        <v>0101</v>
      </c>
      <c r="D289" s="6" t="s">
        <v>10</v>
      </c>
      <c r="E289" s="6" t="s">
        <v>11</v>
      </c>
      <c r="F289" s="6" t="str">
        <f>"胡闯"</f>
        <v>胡闯</v>
      </c>
      <c r="G289" s="6" t="str">
        <f t="shared" si="76"/>
        <v>男</v>
      </c>
      <c r="H289" s="6" t="str">
        <f>"1999-03-17"</f>
        <v>1999-03-17</v>
      </c>
      <c r="I289" s="6"/>
    </row>
    <row r="290" s="1" customFormat="1" ht="30" customHeight="1" spans="1:9">
      <c r="A290" s="6">
        <v>288</v>
      </c>
      <c r="B290" s="6" t="str">
        <f>"48712023020709172127439"</f>
        <v>48712023020709172127439</v>
      </c>
      <c r="C290" s="6" t="str">
        <f t="shared" si="69"/>
        <v>0101</v>
      </c>
      <c r="D290" s="6" t="s">
        <v>10</v>
      </c>
      <c r="E290" s="6" t="s">
        <v>11</v>
      </c>
      <c r="F290" s="6" t="str">
        <f>"张梦薇"</f>
        <v>张梦薇</v>
      </c>
      <c r="G290" s="6" t="str">
        <f t="shared" ref="G290:G295" si="78">"女"</f>
        <v>女</v>
      </c>
      <c r="H290" s="6" t="str">
        <f>"1997-09-12"</f>
        <v>1997-09-12</v>
      </c>
      <c r="I290" s="6"/>
    </row>
    <row r="291" s="1" customFormat="1" ht="30" customHeight="1" spans="1:9">
      <c r="A291" s="6">
        <v>289</v>
      </c>
      <c r="B291" s="6" t="str">
        <f>"48712023020709201027441"</f>
        <v>48712023020709201027441</v>
      </c>
      <c r="C291" s="6" t="str">
        <f t="shared" si="69"/>
        <v>0101</v>
      </c>
      <c r="D291" s="6" t="s">
        <v>10</v>
      </c>
      <c r="E291" s="6" t="s">
        <v>11</v>
      </c>
      <c r="F291" s="6" t="str">
        <f>"陈博强"</f>
        <v>陈博强</v>
      </c>
      <c r="G291" s="6" t="str">
        <f t="shared" ref="G291:G297" si="79">"男"</f>
        <v>男</v>
      </c>
      <c r="H291" s="6" t="str">
        <f>"1999-03-15"</f>
        <v>1999-03-15</v>
      </c>
      <c r="I291" s="6"/>
    </row>
    <row r="292" s="1" customFormat="1" ht="30" customHeight="1" spans="1:9">
      <c r="A292" s="6">
        <v>290</v>
      </c>
      <c r="B292" s="6" t="str">
        <f>"48712023020710013127462"</f>
        <v>48712023020710013127462</v>
      </c>
      <c r="C292" s="6" t="str">
        <f t="shared" si="69"/>
        <v>0101</v>
      </c>
      <c r="D292" s="6" t="s">
        <v>10</v>
      </c>
      <c r="E292" s="6" t="s">
        <v>11</v>
      </c>
      <c r="F292" s="6" t="str">
        <f>"陈风花"</f>
        <v>陈风花</v>
      </c>
      <c r="G292" s="6" t="str">
        <f t="shared" si="78"/>
        <v>女</v>
      </c>
      <c r="H292" s="6" t="str">
        <f>"1999-04-19"</f>
        <v>1999-04-19</v>
      </c>
      <c r="I292" s="6"/>
    </row>
    <row r="293" s="1" customFormat="1" ht="30" customHeight="1" spans="1:9">
      <c r="A293" s="6">
        <v>291</v>
      </c>
      <c r="B293" s="6" t="str">
        <f>"48712023020710173827472"</f>
        <v>48712023020710173827472</v>
      </c>
      <c r="C293" s="6" t="str">
        <f t="shared" si="69"/>
        <v>0101</v>
      </c>
      <c r="D293" s="6" t="s">
        <v>10</v>
      </c>
      <c r="E293" s="6" t="s">
        <v>11</v>
      </c>
      <c r="F293" s="6" t="str">
        <f>"王子棋"</f>
        <v>王子棋</v>
      </c>
      <c r="G293" s="6" t="str">
        <f t="shared" si="79"/>
        <v>男</v>
      </c>
      <c r="H293" s="6" t="str">
        <f>"1988-04-17"</f>
        <v>1988-04-17</v>
      </c>
      <c r="I293" s="6"/>
    </row>
    <row r="294" s="1" customFormat="1" ht="30" customHeight="1" spans="1:9">
      <c r="A294" s="6">
        <v>292</v>
      </c>
      <c r="B294" s="6" t="str">
        <f>"48712023020710185927473"</f>
        <v>48712023020710185927473</v>
      </c>
      <c r="C294" s="6" t="str">
        <f t="shared" si="69"/>
        <v>0101</v>
      </c>
      <c r="D294" s="6" t="s">
        <v>10</v>
      </c>
      <c r="E294" s="6" t="s">
        <v>11</v>
      </c>
      <c r="F294" s="6" t="str">
        <f>"彭熠婷"</f>
        <v>彭熠婷</v>
      </c>
      <c r="G294" s="6" t="str">
        <f t="shared" si="78"/>
        <v>女</v>
      </c>
      <c r="H294" s="6" t="str">
        <f>"1993-09-06"</f>
        <v>1993-09-06</v>
      </c>
      <c r="I294" s="6"/>
    </row>
    <row r="295" s="1" customFormat="1" ht="30" customHeight="1" spans="1:9">
      <c r="A295" s="6">
        <v>293</v>
      </c>
      <c r="B295" s="6" t="str">
        <f>"48712023020710253627475"</f>
        <v>48712023020710253627475</v>
      </c>
      <c r="C295" s="6" t="str">
        <f t="shared" si="69"/>
        <v>0101</v>
      </c>
      <c r="D295" s="6" t="s">
        <v>10</v>
      </c>
      <c r="E295" s="6" t="s">
        <v>11</v>
      </c>
      <c r="F295" s="6" t="str">
        <f>"翁丹怡"</f>
        <v>翁丹怡</v>
      </c>
      <c r="G295" s="6" t="str">
        <f t="shared" si="78"/>
        <v>女</v>
      </c>
      <c r="H295" s="6" t="str">
        <f>"1999-06-12"</f>
        <v>1999-06-12</v>
      </c>
      <c r="I295" s="6"/>
    </row>
    <row r="296" s="1" customFormat="1" ht="30" customHeight="1" spans="1:9">
      <c r="A296" s="6">
        <v>294</v>
      </c>
      <c r="B296" s="6" t="str">
        <f>"48712023020710384527482"</f>
        <v>48712023020710384527482</v>
      </c>
      <c r="C296" s="6" t="str">
        <f t="shared" si="69"/>
        <v>0101</v>
      </c>
      <c r="D296" s="6" t="s">
        <v>10</v>
      </c>
      <c r="E296" s="6" t="s">
        <v>11</v>
      </c>
      <c r="F296" s="6" t="str">
        <f>"薛家兴"</f>
        <v>薛家兴</v>
      </c>
      <c r="G296" s="6" t="str">
        <f t="shared" si="79"/>
        <v>男</v>
      </c>
      <c r="H296" s="6" t="str">
        <f>"1995-09-08"</f>
        <v>1995-09-08</v>
      </c>
      <c r="I296" s="6"/>
    </row>
    <row r="297" s="1" customFormat="1" ht="30" customHeight="1" spans="1:9">
      <c r="A297" s="6">
        <v>295</v>
      </c>
      <c r="B297" s="6" t="str">
        <f>"48712023020710593627496"</f>
        <v>48712023020710593627496</v>
      </c>
      <c r="C297" s="6" t="str">
        <f t="shared" si="69"/>
        <v>0101</v>
      </c>
      <c r="D297" s="6" t="s">
        <v>10</v>
      </c>
      <c r="E297" s="6" t="s">
        <v>11</v>
      </c>
      <c r="F297" s="6" t="str">
        <f>"薛升宇"</f>
        <v>薛升宇</v>
      </c>
      <c r="G297" s="6" t="str">
        <f t="shared" si="79"/>
        <v>男</v>
      </c>
      <c r="H297" s="6" t="str">
        <f>"1991-03-05"</f>
        <v>1991-03-05</v>
      </c>
      <c r="I297" s="6"/>
    </row>
    <row r="298" s="1" customFormat="1" ht="30" customHeight="1" spans="1:9">
      <c r="A298" s="6">
        <v>296</v>
      </c>
      <c r="B298" s="6" t="str">
        <f>"48712023020711204027512"</f>
        <v>48712023020711204027512</v>
      </c>
      <c r="C298" s="6" t="str">
        <f t="shared" si="69"/>
        <v>0101</v>
      </c>
      <c r="D298" s="6" t="s">
        <v>10</v>
      </c>
      <c r="E298" s="6" t="s">
        <v>11</v>
      </c>
      <c r="F298" s="6" t="str">
        <f>"魏万莲"</f>
        <v>魏万莲</v>
      </c>
      <c r="G298" s="6" t="str">
        <f>"女"</f>
        <v>女</v>
      </c>
      <c r="H298" s="6" t="str">
        <f>"1997-04-09"</f>
        <v>1997-04-09</v>
      </c>
      <c r="I298" s="6"/>
    </row>
    <row r="299" s="1" customFormat="1" ht="30" customHeight="1" spans="1:9">
      <c r="A299" s="6">
        <v>297</v>
      </c>
      <c r="B299" s="6" t="str">
        <f>"48712023020711424727520"</f>
        <v>48712023020711424727520</v>
      </c>
      <c r="C299" s="6" t="str">
        <f t="shared" si="69"/>
        <v>0101</v>
      </c>
      <c r="D299" s="6" t="s">
        <v>10</v>
      </c>
      <c r="E299" s="6" t="s">
        <v>11</v>
      </c>
      <c r="F299" s="6" t="str">
        <f>"符路思"</f>
        <v>符路思</v>
      </c>
      <c r="G299" s="6" t="str">
        <f t="shared" ref="G299:G304" si="80">"男"</f>
        <v>男</v>
      </c>
      <c r="H299" s="6" t="str">
        <f>"1993-09-30"</f>
        <v>1993-09-30</v>
      </c>
      <c r="I299" s="6"/>
    </row>
    <row r="300" s="1" customFormat="1" ht="30" customHeight="1" spans="1:9">
      <c r="A300" s="6">
        <v>298</v>
      </c>
      <c r="B300" s="6" t="str">
        <f>"48712023020114050315549"</f>
        <v>48712023020114050315549</v>
      </c>
      <c r="C300" s="6" t="str">
        <f>"0201"</f>
        <v>0201</v>
      </c>
      <c r="D300" s="6" t="s">
        <v>12</v>
      </c>
      <c r="E300" s="6" t="s">
        <v>13</v>
      </c>
      <c r="F300" s="6" t="str">
        <f>"陈芳洁"</f>
        <v>陈芳洁</v>
      </c>
      <c r="G300" s="6" t="str">
        <f>"女"</f>
        <v>女</v>
      </c>
      <c r="H300" s="6" t="str">
        <f>"1995-07-17"</f>
        <v>1995-07-17</v>
      </c>
      <c r="I300" s="6"/>
    </row>
    <row r="301" s="1" customFormat="1" ht="30" customHeight="1" spans="1:9">
      <c r="A301" s="6">
        <v>299</v>
      </c>
      <c r="B301" s="6" t="str">
        <f>"48712023013009085212003"</f>
        <v>48712023013009085212003</v>
      </c>
      <c r="C301" s="6" t="str">
        <f t="shared" ref="C301:C364" si="81">"0201"</f>
        <v>0201</v>
      </c>
      <c r="D301" s="6" t="s">
        <v>12</v>
      </c>
      <c r="E301" s="6" t="s">
        <v>13</v>
      </c>
      <c r="F301" s="6" t="str">
        <f>"黎家凯"</f>
        <v>黎家凯</v>
      </c>
      <c r="G301" s="6" t="str">
        <f t="shared" si="80"/>
        <v>男</v>
      </c>
      <c r="H301" s="6" t="str">
        <f>"1999-07-16"</f>
        <v>1999-07-16</v>
      </c>
      <c r="I301" s="6"/>
    </row>
    <row r="302" s="1" customFormat="1" ht="30" customHeight="1" spans="1:9">
      <c r="A302" s="6">
        <v>300</v>
      </c>
      <c r="B302" s="6" t="str">
        <f>"48712023013009093912005"</f>
        <v>48712023013009093912005</v>
      </c>
      <c r="C302" s="6" t="str">
        <f t="shared" si="81"/>
        <v>0201</v>
      </c>
      <c r="D302" s="6" t="s">
        <v>12</v>
      </c>
      <c r="E302" s="6" t="s">
        <v>13</v>
      </c>
      <c r="F302" s="6" t="str">
        <f>"雷坚军"</f>
        <v>雷坚军</v>
      </c>
      <c r="G302" s="6" t="str">
        <f t="shared" si="80"/>
        <v>男</v>
      </c>
      <c r="H302" s="6" t="str">
        <f>"1989-11-21"</f>
        <v>1989-11-21</v>
      </c>
      <c r="I302" s="6"/>
    </row>
    <row r="303" s="1" customFormat="1" ht="30" customHeight="1" spans="1:9">
      <c r="A303" s="6">
        <v>301</v>
      </c>
      <c r="B303" s="6" t="str">
        <f>"48712023013009130412007"</f>
        <v>48712023013009130412007</v>
      </c>
      <c r="C303" s="6" t="str">
        <f t="shared" si="81"/>
        <v>0201</v>
      </c>
      <c r="D303" s="6" t="s">
        <v>12</v>
      </c>
      <c r="E303" s="6" t="s">
        <v>13</v>
      </c>
      <c r="F303" s="6" t="str">
        <f>"李恒锋"</f>
        <v>李恒锋</v>
      </c>
      <c r="G303" s="6" t="str">
        <f t="shared" si="80"/>
        <v>男</v>
      </c>
      <c r="H303" s="6" t="str">
        <f>"1990-10-27"</f>
        <v>1990-10-27</v>
      </c>
      <c r="I303" s="6"/>
    </row>
    <row r="304" s="1" customFormat="1" ht="30" customHeight="1" spans="1:9">
      <c r="A304" s="6">
        <v>302</v>
      </c>
      <c r="B304" s="6" t="str">
        <f>"48712023013009180012011"</f>
        <v>48712023013009180012011</v>
      </c>
      <c r="C304" s="6" t="str">
        <f t="shared" si="81"/>
        <v>0201</v>
      </c>
      <c r="D304" s="6" t="s">
        <v>12</v>
      </c>
      <c r="E304" s="6" t="s">
        <v>13</v>
      </c>
      <c r="F304" s="6" t="str">
        <f>"符巧飞"</f>
        <v>符巧飞</v>
      </c>
      <c r="G304" s="6" t="str">
        <f t="shared" si="80"/>
        <v>男</v>
      </c>
      <c r="H304" s="6" t="str">
        <f>"1998-05-22"</f>
        <v>1998-05-22</v>
      </c>
      <c r="I304" s="6"/>
    </row>
    <row r="305" s="1" customFormat="1" ht="30" customHeight="1" spans="1:9">
      <c r="A305" s="6">
        <v>303</v>
      </c>
      <c r="B305" s="6" t="str">
        <f>"48712023013009180612012"</f>
        <v>48712023013009180612012</v>
      </c>
      <c r="C305" s="6" t="str">
        <f t="shared" si="81"/>
        <v>0201</v>
      </c>
      <c r="D305" s="6" t="s">
        <v>12</v>
      </c>
      <c r="E305" s="6" t="s">
        <v>13</v>
      </c>
      <c r="F305" s="6" t="str">
        <f>"蔡丽菁"</f>
        <v>蔡丽菁</v>
      </c>
      <c r="G305" s="6" t="str">
        <f t="shared" ref="G305:G310" si="82">"女"</f>
        <v>女</v>
      </c>
      <c r="H305" s="6" t="str">
        <f>"1996-04-07"</f>
        <v>1996-04-07</v>
      </c>
      <c r="I305" s="6"/>
    </row>
    <row r="306" s="1" customFormat="1" ht="30" customHeight="1" spans="1:9">
      <c r="A306" s="6">
        <v>304</v>
      </c>
      <c r="B306" s="6" t="str">
        <f>"48712023013009192712015"</f>
        <v>48712023013009192712015</v>
      </c>
      <c r="C306" s="6" t="str">
        <f t="shared" si="81"/>
        <v>0201</v>
      </c>
      <c r="D306" s="6" t="s">
        <v>12</v>
      </c>
      <c r="E306" s="6" t="s">
        <v>13</v>
      </c>
      <c r="F306" s="6" t="str">
        <f>"林敏"</f>
        <v>林敏</v>
      </c>
      <c r="G306" s="6" t="str">
        <f t="shared" si="82"/>
        <v>女</v>
      </c>
      <c r="H306" s="6" t="str">
        <f>"1997-09-19"</f>
        <v>1997-09-19</v>
      </c>
      <c r="I306" s="6"/>
    </row>
    <row r="307" s="1" customFormat="1" ht="30" customHeight="1" spans="1:9">
      <c r="A307" s="6">
        <v>305</v>
      </c>
      <c r="B307" s="6" t="str">
        <f>"48712023013009205312016"</f>
        <v>48712023013009205312016</v>
      </c>
      <c r="C307" s="6" t="str">
        <f t="shared" si="81"/>
        <v>0201</v>
      </c>
      <c r="D307" s="6" t="s">
        <v>12</v>
      </c>
      <c r="E307" s="6" t="s">
        <v>13</v>
      </c>
      <c r="F307" s="6" t="str">
        <f>"符慧"</f>
        <v>符慧</v>
      </c>
      <c r="G307" s="6" t="str">
        <f t="shared" si="82"/>
        <v>女</v>
      </c>
      <c r="H307" s="6" t="str">
        <f>"1999-09-18"</f>
        <v>1999-09-18</v>
      </c>
      <c r="I307" s="6"/>
    </row>
    <row r="308" s="1" customFormat="1" ht="30" customHeight="1" spans="1:9">
      <c r="A308" s="6">
        <v>306</v>
      </c>
      <c r="B308" s="6" t="str">
        <f>"48712023013009221412018"</f>
        <v>48712023013009221412018</v>
      </c>
      <c r="C308" s="6" t="str">
        <f t="shared" si="81"/>
        <v>0201</v>
      </c>
      <c r="D308" s="6" t="s">
        <v>12</v>
      </c>
      <c r="E308" s="6" t="s">
        <v>13</v>
      </c>
      <c r="F308" s="6" t="str">
        <f>"王迷尔"</f>
        <v>王迷尔</v>
      </c>
      <c r="G308" s="6" t="str">
        <f t="shared" si="82"/>
        <v>女</v>
      </c>
      <c r="H308" s="6" t="str">
        <f>"1995-03-28"</f>
        <v>1995-03-28</v>
      </c>
      <c r="I308" s="6"/>
    </row>
    <row r="309" s="1" customFormat="1" ht="30" customHeight="1" spans="1:9">
      <c r="A309" s="6">
        <v>307</v>
      </c>
      <c r="B309" s="6" t="str">
        <f>"48712023013009280912024"</f>
        <v>48712023013009280912024</v>
      </c>
      <c r="C309" s="6" t="str">
        <f t="shared" si="81"/>
        <v>0201</v>
      </c>
      <c r="D309" s="6" t="s">
        <v>12</v>
      </c>
      <c r="E309" s="6" t="s">
        <v>13</v>
      </c>
      <c r="F309" s="6" t="str">
        <f>"苏群芳"</f>
        <v>苏群芳</v>
      </c>
      <c r="G309" s="6" t="str">
        <f t="shared" si="82"/>
        <v>女</v>
      </c>
      <c r="H309" s="6" t="str">
        <f>"1993-07-01"</f>
        <v>1993-07-01</v>
      </c>
      <c r="I309" s="6"/>
    </row>
    <row r="310" s="1" customFormat="1" ht="30" customHeight="1" spans="1:9">
      <c r="A310" s="6">
        <v>308</v>
      </c>
      <c r="B310" s="6" t="str">
        <f>"48712023013009295412026"</f>
        <v>48712023013009295412026</v>
      </c>
      <c r="C310" s="6" t="str">
        <f t="shared" si="81"/>
        <v>0201</v>
      </c>
      <c r="D310" s="6" t="s">
        <v>12</v>
      </c>
      <c r="E310" s="6" t="s">
        <v>13</v>
      </c>
      <c r="F310" s="6" t="str">
        <f>"陈菲"</f>
        <v>陈菲</v>
      </c>
      <c r="G310" s="6" t="str">
        <f t="shared" si="82"/>
        <v>女</v>
      </c>
      <c r="H310" s="6" t="str">
        <f>"1987-10-15"</f>
        <v>1987-10-15</v>
      </c>
      <c r="I310" s="6"/>
    </row>
    <row r="311" s="1" customFormat="1" ht="30" customHeight="1" spans="1:9">
      <c r="A311" s="6">
        <v>309</v>
      </c>
      <c r="B311" s="6" t="str">
        <f>"48712023013009343912032"</f>
        <v>48712023013009343912032</v>
      </c>
      <c r="C311" s="6" t="str">
        <f t="shared" si="81"/>
        <v>0201</v>
      </c>
      <c r="D311" s="6" t="s">
        <v>12</v>
      </c>
      <c r="E311" s="6" t="s">
        <v>13</v>
      </c>
      <c r="F311" s="6" t="str">
        <f>"吴启文"</f>
        <v>吴启文</v>
      </c>
      <c r="G311" s="6" t="str">
        <f>"男"</f>
        <v>男</v>
      </c>
      <c r="H311" s="6" t="str">
        <f>"1996-12-17"</f>
        <v>1996-12-17</v>
      </c>
      <c r="I311" s="6"/>
    </row>
    <row r="312" s="1" customFormat="1" ht="30" customHeight="1" spans="1:9">
      <c r="A312" s="6">
        <v>310</v>
      </c>
      <c r="B312" s="6" t="str">
        <f>"48712023013009370112039"</f>
        <v>48712023013009370112039</v>
      </c>
      <c r="C312" s="6" t="str">
        <f t="shared" si="81"/>
        <v>0201</v>
      </c>
      <c r="D312" s="6" t="s">
        <v>12</v>
      </c>
      <c r="E312" s="6" t="s">
        <v>13</v>
      </c>
      <c r="F312" s="6" t="str">
        <f>"杨梓轩"</f>
        <v>杨梓轩</v>
      </c>
      <c r="G312" s="6" t="str">
        <f>"男"</f>
        <v>男</v>
      </c>
      <c r="H312" s="6" t="str">
        <f>"1993-04-30"</f>
        <v>1993-04-30</v>
      </c>
      <c r="I312" s="6"/>
    </row>
    <row r="313" s="1" customFormat="1" ht="30" customHeight="1" spans="1:9">
      <c r="A313" s="6">
        <v>311</v>
      </c>
      <c r="B313" s="6" t="str">
        <f>"48712023013009393312044"</f>
        <v>48712023013009393312044</v>
      </c>
      <c r="C313" s="6" t="str">
        <f t="shared" si="81"/>
        <v>0201</v>
      </c>
      <c r="D313" s="6" t="s">
        <v>12</v>
      </c>
      <c r="E313" s="6" t="s">
        <v>13</v>
      </c>
      <c r="F313" s="6" t="str">
        <f>"李福女"</f>
        <v>李福女</v>
      </c>
      <c r="G313" s="6" t="str">
        <f t="shared" ref="G313:G317" si="83">"女"</f>
        <v>女</v>
      </c>
      <c r="H313" s="6" t="str">
        <f>"1997-04-12"</f>
        <v>1997-04-12</v>
      </c>
      <c r="I313" s="6"/>
    </row>
    <row r="314" s="1" customFormat="1" ht="30" customHeight="1" spans="1:9">
      <c r="A314" s="6">
        <v>312</v>
      </c>
      <c r="B314" s="6" t="str">
        <f>"48712023013009455912052"</f>
        <v>48712023013009455912052</v>
      </c>
      <c r="C314" s="6" t="str">
        <f t="shared" si="81"/>
        <v>0201</v>
      </c>
      <c r="D314" s="6" t="s">
        <v>12</v>
      </c>
      <c r="E314" s="6" t="s">
        <v>13</v>
      </c>
      <c r="F314" s="6" t="str">
        <f>"陈粉萍"</f>
        <v>陈粉萍</v>
      </c>
      <c r="G314" s="6" t="str">
        <f t="shared" si="83"/>
        <v>女</v>
      </c>
      <c r="H314" s="6" t="str">
        <f>"1997-01-20"</f>
        <v>1997-01-20</v>
      </c>
      <c r="I314" s="6"/>
    </row>
    <row r="315" s="1" customFormat="1" ht="30" customHeight="1" spans="1:9">
      <c r="A315" s="6">
        <v>313</v>
      </c>
      <c r="B315" s="6" t="str">
        <f>"48712023013009503512057"</f>
        <v>48712023013009503512057</v>
      </c>
      <c r="C315" s="6" t="str">
        <f t="shared" si="81"/>
        <v>0201</v>
      </c>
      <c r="D315" s="6" t="s">
        <v>12</v>
      </c>
      <c r="E315" s="6" t="s">
        <v>13</v>
      </c>
      <c r="F315" s="6" t="str">
        <f>"黄莹仪"</f>
        <v>黄莹仪</v>
      </c>
      <c r="G315" s="6" t="str">
        <f t="shared" si="83"/>
        <v>女</v>
      </c>
      <c r="H315" s="6" t="str">
        <f>"1994-07-08"</f>
        <v>1994-07-08</v>
      </c>
      <c r="I315" s="6"/>
    </row>
    <row r="316" s="1" customFormat="1" ht="30" customHeight="1" spans="1:9">
      <c r="A316" s="6">
        <v>314</v>
      </c>
      <c r="B316" s="6" t="str">
        <f>"48712023013009563512068"</f>
        <v>48712023013009563512068</v>
      </c>
      <c r="C316" s="6" t="str">
        <f t="shared" si="81"/>
        <v>0201</v>
      </c>
      <c r="D316" s="6" t="s">
        <v>12</v>
      </c>
      <c r="E316" s="6" t="s">
        <v>13</v>
      </c>
      <c r="F316" s="6" t="str">
        <f>"陈晓玲"</f>
        <v>陈晓玲</v>
      </c>
      <c r="G316" s="6" t="str">
        <f t="shared" si="83"/>
        <v>女</v>
      </c>
      <c r="H316" s="6" t="str">
        <f>"1998-09-06"</f>
        <v>1998-09-06</v>
      </c>
      <c r="I316" s="6"/>
    </row>
    <row r="317" s="1" customFormat="1" ht="30" customHeight="1" spans="1:9">
      <c r="A317" s="6">
        <v>315</v>
      </c>
      <c r="B317" s="6" t="str">
        <f>"48712023013009582912072"</f>
        <v>48712023013009582912072</v>
      </c>
      <c r="C317" s="6" t="str">
        <f t="shared" si="81"/>
        <v>0201</v>
      </c>
      <c r="D317" s="6" t="s">
        <v>12</v>
      </c>
      <c r="E317" s="6" t="s">
        <v>13</v>
      </c>
      <c r="F317" s="6" t="str">
        <f>"林心莹"</f>
        <v>林心莹</v>
      </c>
      <c r="G317" s="6" t="str">
        <f t="shared" si="83"/>
        <v>女</v>
      </c>
      <c r="H317" s="6" t="str">
        <f>"1998-03-20"</f>
        <v>1998-03-20</v>
      </c>
      <c r="I317" s="6"/>
    </row>
    <row r="318" s="1" customFormat="1" ht="30" customHeight="1" spans="1:9">
      <c r="A318" s="6">
        <v>316</v>
      </c>
      <c r="B318" s="6" t="str">
        <f>"48712023013009585712074"</f>
        <v>48712023013009585712074</v>
      </c>
      <c r="C318" s="6" t="str">
        <f t="shared" si="81"/>
        <v>0201</v>
      </c>
      <c r="D318" s="6" t="s">
        <v>12</v>
      </c>
      <c r="E318" s="6" t="s">
        <v>13</v>
      </c>
      <c r="F318" s="6" t="str">
        <f>"张有龙"</f>
        <v>张有龙</v>
      </c>
      <c r="G318" s="6" t="str">
        <f t="shared" ref="G318:G320" si="84">"男"</f>
        <v>男</v>
      </c>
      <c r="H318" s="6" t="str">
        <f>"1990-09-17"</f>
        <v>1990-09-17</v>
      </c>
      <c r="I318" s="6"/>
    </row>
    <row r="319" s="1" customFormat="1" ht="30" customHeight="1" spans="1:9">
      <c r="A319" s="6">
        <v>317</v>
      </c>
      <c r="B319" s="6" t="str">
        <f>"48712023013009594712075"</f>
        <v>48712023013009594712075</v>
      </c>
      <c r="C319" s="6" t="str">
        <f t="shared" si="81"/>
        <v>0201</v>
      </c>
      <c r="D319" s="6" t="s">
        <v>12</v>
      </c>
      <c r="E319" s="6" t="s">
        <v>13</v>
      </c>
      <c r="F319" s="6" t="str">
        <f>"蔡兴赓"</f>
        <v>蔡兴赓</v>
      </c>
      <c r="G319" s="6" t="str">
        <f t="shared" si="84"/>
        <v>男</v>
      </c>
      <c r="H319" s="6" t="str">
        <f>"1993-04-16"</f>
        <v>1993-04-16</v>
      </c>
      <c r="I319" s="6"/>
    </row>
    <row r="320" s="1" customFormat="1" ht="30" customHeight="1" spans="1:9">
      <c r="A320" s="6">
        <v>318</v>
      </c>
      <c r="B320" s="6" t="str">
        <f>"48712023013010011012078"</f>
        <v>48712023013010011012078</v>
      </c>
      <c r="C320" s="6" t="str">
        <f t="shared" si="81"/>
        <v>0201</v>
      </c>
      <c r="D320" s="6" t="s">
        <v>12</v>
      </c>
      <c r="E320" s="6" t="s">
        <v>13</v>
      </c>
      <c r="F320" s="6" t="str">
        <f>"丁泓杰"</f>
        <v>丁泓杰</v>
      </c>
      <c r="G320" s="6" t="str">
        <f t="shared" si="84"/>
        <v>男</v>
      </c>
      <c r="H320" s="6" t="str">
        <f>"2000-04-06"</f>
        <v>2000-04-06</v>
      </c>
      <c r="I320" s="6"/>
    </row>
    <row r="321" s="1" customFormat="1" ht="30" customHeight="1" spans="1:9">
      <c r="A321" s="6">
        <v>319</v>
      </c>
      <c r="B321" s="6" t="str">
        <f>"48712023013010063012089"</f>
        <v>48712023013010063012089</v>
      </c>
      <c r="C321" s="6" t="str">
        <f t="shared" si="81"/>
        <v>0201</v>
      </c>
      <c r="D321" s="6" t="s">
        <v>12</v>
      </c>
      <c r="E321" s="6" t="s">
        <v>13</v>
      </c>
      <c r="F321" s="6" t="str">
        <f>"徐卓然"</f>
        <v>徐卓然</v>
      </c>
      <c r="G321" s="6" t="str">
        <f t="shared" ref="G321:G325" si="85">"女"</f>
        <v>女</v>
      </c>
      <c r="H321" s="6" t="str">
        <f>"1998-07-27"</f>
        <v>1998-07-27</v>
      </c>
      <c r="I321" s="6"/>
    </row>
    <row r="322" s="1" customFormat="1" ht="30" customHeight="1" spans="1:9">
      <c r="A322" s="6">
        <v>320</v>
      </c>
      <c r="B322" s="6" t="str">
        <f>"48712023013010063512090"</f>
        <v>48712023013010063512090</v>
      </c>
      <c r="C322" s="6" t="str">
        <f t="shared" si="81"/>
        <v>0201</v>
      </c>
      <c r="D322" s="6" t="s">
        <v>12</v>
      </c>
      <c r="E322" s="6" t="s">
        <v>13</v>
      </c>
      <c r="F322" s="6" t="str">
        <f>"柯行增"</f>
        <v>柯行增</v>
      </c>
      <c r="G322" s="6" t="str">
        <f>"男"</f>
        <v>男</v>
      </c>
      <c r="H322" s="6" t="str">
        <f>"1994-07-07"</f>
        <v>1994-07-07</v>
      </c>
      <c r="I322" s="6"/>
    </row>
    <row r="323" s="1" customFormat="1" ht="30" customHeight="1" spans="1:9">
      <c r="A323" s="6">
        <v>321</v>
      </c>
      <c r="B323" s="6" t="str">
        <f>"48712023013010125212097"</f>
        <v>48712023013010125212097</v>
      </c>
      <c r="C323" s="6" t="str">
        <f t="shared" si="81"/>
        <v>0201</v>
      </c>
      <c r="D323" s="6" t="s">
        <v>12</v>
      </c>
      <c r="E323" s="6" t="s">
        <v>13</v>
      </c>
      <c r="F323" s="6" t="str">
        <f>"肖永怡"</f>
        <v>肖永怡</v>
      </c>
      <c r="G323" s="6" t="str">
        <f t="shared" si="85"/>
        <v>女</v>
      </c>
      <c r="H323" s="6" t="str">
        <f>"1999-04-12"</f>
        <v>1999-04-12</v>
      </c>
      <c r="I323" s="6"/>
    </row>
    <row r="324" s="1" customFormat="1" ht="30" customHeight="1" spans="1:9">
      <c r="A324" s="6">
        <v>322</v>
      </c>
      <c r="B324" s="6" t="str">
        <f>"48712023013010135712098"</f>
        <v>48712023013010135712098</v>
      </c>
      <c r="C324" s="6" t="str">
        <f t="shared" si="81"/>
        <v>0201</v>
      </c>
      <c r="D324" s="6" t="s">
        <v>12</v>
      </c>
      <c r="E324" s="6" t="s">
        <v>13</v>
      </c>
      <c r="F324" s="6" t="str">
        <f>"罗为丹"</f>
        <v>罗为丹</v>
      </c>
      <c r="G324" s="6" t="str">
        <f t="shared" si="85"/>
        <v>女</v>
      </c>
      <c r="H324" s="6" t="str">
        <f>"1996-09-19"</f>
        <v>1996-09-19</v>
      </c>
      <c r="I324" s="6"/>
    </row>
    <row r="325" s="1" customFormat="1" ht="30" customHeight="1" spans="1:9">
      <c r="A325" s="6">
        <v>323</v>
      </c>
      <c r="B325" s="6" t="str">
        <f>"48712023013010315712124"</f>
        <v>48712023013010315712124</v>
      </c>
      <c r="C325" s="6" t="str">
        <f t="shared" si="81"/>
        <v>0201</v>
      </c>
      <c r="D325" s="6" t="s">
        <v>12</v>
      </c>
      <c r="E325" s="6" t="s">
        <v>13</v>
      </c>
      <c r="F325" s="6" t="str">
        <f>"邢贞丽"</f>
        <v>邢贞丽</v>
      </c>
      <c r="G325" s="6" t="str">
        <f t="shared" si="85"/>
        <v>女</v>
      </c>
      <c r="H325" s="6" t="str">
        <f>"1989-07-22"</f>
        <v>1989-07-22</v>
      </c>
      <c r="I325" s="6"/>
    </row>
    <row r="326" s="1" customFormat="1" ht="30" customHeight="1" spans="1:9">
      <c r="A326" s="6">
        <v>324</v>
      </c>
      <c r="B326" s="6" t="str">
        <f>"48712023013010333912128"</f>
        <v>48712023013010333912128</v>
      </c>
      <c r="C326" s="6" t="str">
        <f t="shared" si="81"/>
        <v>0201</v>
      </c>
      <c r="D326" s="6" t="s">
        <v>12</v>
      </c>
      <c r="E326" s="6" t="s">
        <v>13</v>
      </c>
      <c r="F326" s="6" t="str">
        <f>"裴永越"</f>
        <v>裴永越</v>
      </c>
      <c r="G326" s="6" t="str">
        <f t="shared" ref="G326:G330" si="86">"男"</f>
        <v>男</v>
      </c>
      <c r="H326" s="6" t="str">
        <f>"1990-02-18"</f>
        <v>1990-02-18</v>
      </c>
      <c r="I326" s="6"/>
    </row>
    <row r="327" s="1" customFormat="1" ht="30" customHeight="1" spans="1:9">
      <c r="A327" s="6">
        <v>325</v>
      </c>
      <c r="B327" s="6" t="str">
        <f>"48712023013010361312132"</f>
        <v>48712023013010361312132</v>
      </c>
      <c r="C327" s="6" t="str">
        <f t="shared" si="81"/>
        <v>0201</v>
      </c>
      <c r="D327" s="6" t="s">
        <v>12</v>
      </c>
      <c r="E327" s="6" t="s">
        <v>13</v>
      </c>
      <c r="F327" s="6" t="str">
        <f>"梁艺"</f>
        <v>梁艺</v>
      </c>
      <c r="G327" s="6" t="str">
        <f>"女"</f>
        <v>女</v>
      </c>
      <c r="H327" s="6" t="str">
        <f>"1991-10-01"</f>
        <v>1991-10-01</v>
      </c>
      <c r="I327" s="6"/>
    </row>
    <row r="328" s="1" customFormat="1" ht="30" customHeight="1" spans="1:9">
      <c r="A328" s="6">
        <v>326</v>
      </c>
      <c r="B328" s="6" t="str">
        <f>"48712023013010461312148"</f>
        <v>48712023013010461312148</v>
      </c>
      <c r="C328" s="6" t="str">
        <f t="shared" si="81"/>
        <v>0201</v>
      </c>
      <c r="D328" s="6" t="s">
        <v>12</v>
      </c>
      <c r="E328" s="6" t="s">
        <v>13</v>
      </c>
      <c r="F328" s="6" t="str">
        <f>"肖进文"</f>
        <v>肖进文</v>
      </c>
      <c r="G328" s="6" t="str">
        <f t="shared" si="86"/>
        <v>男</v>
      </c>
      <c r="H328" s="6" t="str">
        <f>"1993-03-18"</f>
        <v>1993-03-18</v>
      </c>
      <c r="I328" s="6"/>
    </row>
    <row r="329" s="1" customFormat="1" ht="30" customHeight="1" spans="1:9">
      <c r="A329" s="6">
        <v>327</v>
      </c>
      <c r="B329" s="6" t="str">
        <f>"48712023013010524612153"</f>
        <v>48712023013010524612153</v>
      </c>
      <c r="C329" s="6" t="str">
        <f t="shared" si="81"/>
        <v>0201</v>
      </c>
      <c r="D329" s="6" t="s">
        <v>12</v>
      </c>
      <c r="E329" s="6" t="s">
        <v>13</v>
      </c>
      <c r="F329" s="6" t="str">
        <f>"陈婆月"</f>
        <v>陈婆月</v>
      </c>
      <c r="G329" s="6" t="str">
        <f>"女"</f>
        <v>女</v>
      </c>
      <c r="H329" s="6" t="str">
        <f>"2001-04-15"</f>
        <v>2001-04-15</v>
      </c>
      <c r="I329" s="6"/>
    </row>
    <row r="330" s="1" customFormat="1" ht="30" customHeight="1" spans="1:9">
      <c r="A330" s="6">
        <v>328</v>
      </c>
      <c r="B330" s="6" t="str">
        <f>"48712023013011032512171"</f>
        <v>48712023013011032512171</v>
      </c>
      <c r="C330" s="6" t="str">
        <f t="shared" si="81"/>
        <v>0201</v>
      </c>
      <c r="D330" s="6" t="s">
        <v>12</v>
      </c>
      <c r="E330" s="6" t="s">
        <v>13</v>
      </c>
      <c r="F330" s="6" t="str">
        <f>"王兴"</f>
        <v>王兴</v>
      </c>
      <c r="G330" s="6" t="str">
        <f t="shared" si="86"/>
        <v>男</v>
      </c>
      <c r="H330" s="6" t="str">
        <f>"2000-02-20"</f>
        <v>2000-02-20</v>
      </c>
      <c r="I330" s="6"/>
    </row>
    <row r="331" s="1" customFormat="1" ht="30" customHeight="1" spans="1:9">
      <c r="A331" s="6">
        <v>329</v>
      </c>
      <c r="B331" s="6" t="str">
        <f>"48712023013011040712172"</f>
        <v>48712023013011040712172</v>
      </c>
      <c r="C331" s="6" t="str">
        <f t="shared" si="81"/>
        <v>0201</v>
      </c>
      <c r="D331" s="6" t="s">
        <v>12</v>
      </c>
      <c r="E331" s="6" t="s">
        <v>13</v>
      </c>
      <c r="F331" s="6" t="str">
        <f>"陈小慧"</f>
        <v>陈小慧</v>
      </c>
      <c r="G331" s="6" t="str">
        <f t="shared" ref="G331:G341" si="87">"女"</f>
        <v>女</v>
      </c>
      <c r="H331" s="6" t="str">
        <f>"1991-10-08"</f>
        <v>1991-10-08</v>
      </c>
      <c r="I331" s="6"/>
    </row>
    <row r="332" s="1" customFormat="1" ht="30" customHeight="1" spans="1:9">
      <c r="A332" s="6">
        <v>330</v>
      </c>
      <c r="B332" s="6" t="str">
        <f>"48712023013011043112173"</f>
        <v>48712023013011043112173</v>
      </c>
      <c r="C332" s="6" t="str">
        <f t="shared" si="81"/>
        <v>0201</v>
      </c>
      <c r="D332" s="6" t="s">
        <v>12</v>
      </c>
      <c r="E332" s="6" t="s">
        <v>13</v>
      </c>
      <c r="F332" s="6" t="str">
        <f>"杨丹丹"</f>
        <v>杨丹丹</v>
      </c>
      <c r="G332" s="6" t="str">
        <f t="shared" si="87"/>
        <v>女</v>
      </c>
      <c r="H332" s="6" t="str">
        <f>"1996-08-02"</f>
        <v>1996-08-02</v>
      </c>
      <c r="I332" s="6"/>
    </row>
    <row r="333" s="1" customFormat="1" ht="30" customHeight="1" spans="1:9">
      <c r="A333" s="6">
        <v>331</v>
      </c>
      <c r="B333" s="6" t="str">
        <f>"48712023013011392412213"</f>
        <v>48712023013011392412213</v>
      </c>
      <c r="C333" s="6" t="str">
        <f t="shared" si="81"/>
        <v>0201</v>
      </c>
      <c r="D333" s="6" t="s">
        <v>12</v>
      </c>
      <c r="E333" s="6" t="s">
        <v>13</v>
      </c>
      <c r="F333" s="6" t="str">
        <f>"陈孟瑾"</f>
        <v>陈孟瑾</v>
      </c>
      <c r="G333" s="6" t="str">
        <f t="shared" si="87"/>
        <v>女</v>
      </c>
      <c r="H333" s="6" t="str">
        <f>"1998-02-01"</f>
        <v>1998-02-01</v>
      </c>
      <c r="I333" s="6"/>
    </row>
    <row r="334" s="1" customFormat="1" ht="30" customHeight="1" spans="1:9">
      <c r="A334" s="6">
        <v>332</v>
      </c>
      <c r="B334" s="6" t="str">
        <f>"48712023013011410112216"</f>
        <v>48712023013011410112216</v>
      </c>
      <c r="C334" s="6" t="str">
        <f t="shared" si="81"/>
        <v>0201</v>
      </c>
      <c r="D334" s="6" t="s">
        <v>12</v>
      </c>
      <c r="E334" s="6" t="s">
        <v>13</v>
      </c>
      <c r="F334" s="6" t="str">
        <f>"高顺欣"</f>
        <v>高顺欣</v>
      </c>
      <c r="G334" s="6" t="str">
        <f t="shared" si="87"/>
        <v>女</v>
      </c>
      <c r="H334" s="6" t="str">
        <f>"1996-02-06"</f>
        <v>1996-02-06</v>
      </c>
      <c r="I334" s="6"/>
    </row>
    <row r="335" s="1" customFormat="1" ht="30" customHeight="1" spans="1:9">
      <c r="A335" s="6">
        <v>333</v>
      </c>
      <c r="B335" s="6" t="str">
        <f>"48712023013011425712217"</f>
        <v>48712023013011425712217</v>
      </c>
      <c r="C335" s="6" t="str">
        <f t="shared" si="81"/>
        <v>0201</v>
      </c>
      <c r="D335" s="6" t="s">
        <v>12</v>
      </c>
      <c r="E335" s="6" t="s">
        <v>13</v>
      </c>
      <c r="F335" s="6" t="str">
        <f>"黄小倩"</f>
        <v>黄小倩</v>
      </c>
      <c r="G335" s="6" t="str">
        <f t="shared" si="87"/>
        <v>女</v>
      </c>
      <c r="H335" s="6" t="str">
        <f>"1992-04-19"</f>
        <v>1992-04-19</v>
      </c>
      <c r="I335" s="6"/>
    </row>
    <row r="336" s="1" customFormat="1" ht="30" customHeight="1" spans="1:9">
      <c r="A336" s="6">
        <v>334</v>
      </c>
      <c r="B336" s="6" t="str">
        <f>"48712023013011461812223"</f>
        <v>48712023013011461812223</v>
      </c>
      <c r="C336" s="6" t="str">
        <f t="shared" si="81"/>
        <v>0201</v>
      </c>
      <c r="D336" s="6" t="s">
        <v>12</v>
      </c>
      <c r="E336" s="6" t="s">
        <v>13</v>
      </c>
      <c r="F336" s="6" t="str">
        <f>"李颖"</f>
        <v>李颖</v>
      </c>
      <c r="G336" s="6" t="str">
        <f t="shared" si="87"/>
        <v>女</v>
      </c>
      <c r="H336" s="6" t="str">
        <f>"1995-04-30"</f>
        <v>1995-04-30</v>
      </c>
      <c r="I336" s="6"/>
    </row>
    <row r="337" s="1" customFormat="1" ht="30" customHeight="1" spans="1:9">
      <c r="A337" s="6">
        <v>335</v>
      </c>
      <c r="B337" s="6" t="str">
        <f>"48712023013011485312225"</f>
        <v>48712023013011485312225</v>
      </c>
      <c r="C337" s="6" t="str">
        <f t="shared" si="81"/>
        <v>0201</v>
      </c>
      <c r="D337" s="6" t="s">
        <v>12</v>
      </c>
      <c r="E337" s="6" t="s">
        <v>13</v>
      </c>
      <c r="F337" s="6" t="str">
        <f>"陈梦婷"</f>
        <v>陈梦婷</v>
      </c>
      <c r="G337" s="6" t="str">
        <f t="shared" si="87"/>
        <v>女</v>
      </c>
      <c r="H337" s="6" t="str">
        <f>"1988-12-23"</f>
        <v>1988-12-23</v>
      </c>
      <c r="I337" s="6"/>
    </row>
    <row r="338" s="1" customFormat="1" ht="30" customHeight="1" spans="1:9">
      <c r="A338" s="6">
        <v>336</v>
      </c>
      <c r="B338" s="6" t="str">
        <f>"48712023013011521112228"</f>
        <v>48712023013011521112228</v>
      </c>
      <c r="C338" s="6" t="str">
        <f t="shared" si="81"/>
        <v>0201</v>
      </c>
      <c r="D338" s="6" t="s">
        <v>12</v>
      </c>
      <c r="E338" s="6" t="s">
        <v>13</v>
      </c>
      <c r="F338" s="6" t="str">
        <f>"林慧"</f>
        <v>林慧</v>
      </c>
      <c r="G338" s="6" t="str">
        <f t="shared" si="87"/>
        <v>女</v>
      </c>
      <c r="H338" s="6" t="str">
        <f>"1998-09-13"</f>
        <v>1998-09-13</v>
      </c>
      <c r="I338" s="6"/>
    </row>
    <row r="339" s="1" customFormat="1" ht="30" customHeight="1" spans="1:9">
      <c r="A339" s="6">
        <v>337</v>
      </c>
      <c r="B339" s="6" t="str">
        <f>"48712023013011543212230"</f>
        <v>48712023013011543212230</v>
      </c>
      <c r="C339" s="6" t="str">
        <f t="shared" si="81"/>
        <v>0201</v>
      </c>
      <c r="D339" s="6" t="s">
        <v>12</v>
      </c>
      <c r="E339" s="6" t="s">
        <v>13</v>
      </c>
      <c r="F339" s="6" t="str">
        <f>"童柳五"</f>
        <v>童柳五</v>
      </c>
      <c r="G339" s="6" t="str">
        <f t="shared" si="87"/>
        <v>女</v>
      </c>
      <c r="H339" s="6" t="str">
        <f>"1997-08-25"</f>
        <v>1997-08-25</v>
      </c>
      <c r="I339" s="6"/>
    </row>
    <row r="340" s="1" customFormat="1" ht="30" customHeight="1" spans="1:9">
      <c r="A340" s="6">
        <v>338</v>
      </c>
      <c r="B340" s="6" t="str">
        <f>"48712023013011593412234"</f>
        <v>48712023013011593412234</v>
      </c>
      <c r="C340" s="6" t="str">
        <f t="shared" si="81"/>
        <v>0201</v>
      </c>
      <c r="D340" s="6" t="s">
        <v>12</v>
      </c>
      <c r="E340" s="6" t="s">
        <v>13</v>
      </c>
      <c r="F340" s="6" t="str">
        <f>"赵世瑾"</f>
        <v>赵世瑾</v>
      </c>
      <c r="G340" s="6" t="str">
        <f t="shared" si="87"/>
        <v>女</v>
      </c>
      <c r="H340" s="6" t="str">
        <f>"1989-03-11"</f>
        <v>1989-03-11</v>
      </c>
      <c r="I340" s="6"/>
    </row>
    <row r="341" s="1" customFormat="1" ht="30" customHeight="1" spans="1:9">
      <c r="A341" s="6">
        <v>339</v>
      </c>
      <c r="B341" s="6" t="str">
        <f>"48712023013012084912244"</f>
        <v>48712023013012084912244</v>
      </c>
      <c r="C341" s="6" t="str">
        <f t="shared" si="81"/>
        <v>0201</v>
      </c>
      <c r="D341" s="6" t="s">
        <v>12</v>
      </c>
      <c r="E341" s="6" t="s">
        <v>13</v>
      </c>
      <c r="F341" s="6" t="str">
        <f>"郝佳"</f>
        <v>郝佳</v>
      </c>
      <c r="G341" s="6" t="str">
        <f t="shared" si="87"/>
        <v>女</v>
      </c>
      <c r="H341" s="6" t="str">
        <f>"1988-03-04"</f>
        <v>1988-03-04</v>
      </c>
      <c r="I341" s="6"/>
    </row>
    <row r="342" s="1" customFormat="1" ht="30" customHeight="1" spans="1:9">
      <c r="A342" s="6">
        <v>340</v>
      </c>
      <c r="B342" s="6" t="str">
        <f>"48712023013012301412263"</f>
        <v>48712023013012301412263</v>
      </c>
      <c r="C342" s="6" t="str">
        <f t="shared" si="81"/>
        <v>0201</v>
      </c>
      <c r="D342" s="6" t="s">
        <v>12</v>
      </c>
      <c r="E342" s="6" t="s">
        <v>13</v>
      </c>
      <c r="F342" s="6" t="str">
        <f>"梁壹铭"</f>
        <v>梁壹铭</v>
      </c>
      <c r="G342" s="6" t="str">
        <f>"男"</f>
        <v>男</v>
      </c>
      <c r="H342" s="6" t="str">
        <f>"1997-04-17"</f>
        <v>1997-04-17</v>
      </c>
      <c r="I342" s="6"/>
    </row>
    <row r="343" s="1" customFormat="1" ht="30" customHeight="1" spans="1:9">
      <c r="A343" s="6">
        <v>341</v>
      </c>
      <c r="B343" s="6" t="str">
        <f>"48712023013012420112272"</f>
        <v>48712023013012420112272</v>
      </c>
      <c r="C343" s="6" t="str">
        <f t="shared" si="81"/>
        <v>0201</v>
      </c>
      <c r="D343" s="6" t="s">
        <v>12</v>
      </c>
      <c r="E343" s="6" t="s">
        <v>13</v>
      </c>
      <c r="F343" s="6" t="str">
        <f>"王子愉"</f>
        <v>王子愉</v>
      </c>
      <c r="G343" s="6" t="str">
        <f t="shared" ref="G343:G345" si="88">"女"</f>
        <v>女</v>
      </c>
      <c r="H343" s="6" t="str">
        <f>"2000-11-01"</f>
        <v>2000-11-01</v>
      </c>
      <c r="I343" s="6"/>
    </row>
    <row r="344" s="1" customFormat="1" ht="30" customHeight="1" spans="1:9">
      <c r="A344" s="6">
        <v>342</v>
      </c>
      <c r="B344" s="6" t="str">
        <f>"48712023013012455212278"</f>
        <v>48712023013012455212278</v>
      </c>
      <c r="C344" s="6" t="str">
        <f t="shared" si="81"/>
        <v>0201</v>
      </c>
      <c r="D344" s="6" t="s">
        <v>12</v>
      </c>
      <c r="E344" s="6" t="s">
        <v>13</v>
      </c>
      <c r="F344" s="6" t="str">
        <f>"孙薇"</f>
        <v>孙薇</v>
      </c>
      <c r="G344" s="6" t="str">
        <f t="shared" si="88"/>
        <v>女</v>
      </c>
      <c r="H344" s="6" t="str">
        <f>"1996-04-27"</f>
        <v>1996-04-27</v>
      </c>
      <c r="I344" s="6"/>
    </row>
    <row r="345" s="1" customFormat="1" ht="30" customHeight="1" spans="1:9">
      <c r="A345" s="6">
        <v>343</v>
      </c>
      <c r="B345" s="6" t="str">
        <f>"48712023013012480612281"</f>
        <v>48712023013012480612281</v>
      </c>
      <c r="C345" s="6" t="str">
        <f t="shared" si="81"/>
        <v>0201</v>
      </c>
      <c r="D345" s="6" t="s">
        <v>12</v>
      </c>
      <c r="E345" s="6" t="s">
        <v>13</v>
      </c>
      <c r="F345" s="6" t="str">
        <f>"邢容"</f>
        <v>邢容</v>
      </c>
      <c r="G345" s="6" t="str">
        <f t="shared" si="88"/>
        <v>女</v>
      </c>
      <c r="H345" s="6" t="str">
        <f>"1999-07-23"</f>
        <v>1999-07-23</v>
      </c>
      <c r="I345" s="6"/>
    </row>
    <row r="346" s="1" customFormat="1" ht="30" customHeight="1" spans="1:9">
      <c r="A346" s="6">
        <v>344</v>
      </c>
      <c r="B346" s="6" t="str">
        <f>"48712023013012502812282"</f>
        <v>48712023013012502812282</v>
      </c>
      <c r="C346" s="6" t="str">
        <f t="shared" si="81"/>
        <v>0201</v>
      </c>
      <c r="D346" s="6" t="s">
        <v>12</v>
      </c>
      <c r="E346" s="6" t="s">
        <v>13</v>
      </c>
      <c r="F346" s="6" t="str">
        <f>"潘纪超"</f>
        <v>潘纪超</v>
      </c>
      <c r="G346" s="6" t="str">
        <f>"男"</f>
        <v>男</v>
      </c>
      <c r="H346" s="6" t="str">
        <f>"2000-11-01"</f>
        <v>2000-11-01</v>
      </c>
      <c r="I346" s="6"/>
    </row>
    <row r="347" s="1" customFormat="1" ht="30" customHeight="1" spans="1:9">
      <c r="A347" s="6">
        <v>345</v>
      </c>
      <c r="B347" s="6" t="str">
        <f>"48712023013013243212307"</f>
        <v>48712023013013243212307</v>
      </c>
      <c r="C347" s="6" t="str">
        <f t="shared" si="81"/>
        <v>0201</v>
      </c>
      <c r="D347" s="6" t="s">
        <v>12</v>
      </c>
      <c r="E347" s="6" t="s">
        <v>13</v>
      </c>
      <c r="F347" s="6" t="str">
        <f>"朱紫菱"</f>
        <v>朱紫菱</v>
      </c>
      <c r="G347" s="6" t="str">
        <f t="shared" ref="G347:G353" si="89">"女"</f>
        <v>女</v>
      </c>
      <c r="H347" s="6" t="str">
        <f>"2001-07-29"</f>
        <v>2001-07-29</v>
      </c>
      <c r="I347" s="6"/>
    </row>
    <row r="348" s="1" customFormat="1" ht="30" customHeight="1" spans="1:9">
      <c r="A348" s="6">
        <v>346</v>
      </c>
      <c r="B348" s="6" t="str">
        <f>"48712023013013310412315"</f>
        <v>48712023013013310412315</v>
      </c>
      <c r="C348" s="6" t="str">
        <f t="shared" si="81"/>
        <v>0201</v>
      </c>
      <c r="D348" s="6" t="s">
        <v>12</v>
      </c>
      <c r="E348" s="6" t="s">
        <v>13</v>
      </c>
      <c r="F348" s="6" t="str">
        <f>"巩裕豪"</f>
        <v>巩裕豪</v>
      </c>
      <c r="G348" s="6" t="str">
        <f>"男"</f>
        <v>男</v>
      </c>
      <c r="H348" s="6" t="str">
        <f>"1996-10-13"</f>
        <v>1996-10-13</v>
      </c>
      <c r="I348" s="6"/>
    </row>
    <row r="349" s="1" customFormat="1" ht="30" customHeight="1" spans="1:9">
      <c r="A349" s="6">
        <v>347</v>
      </c>
      <c r="B349" s="6" t="str">
        <f>"48712023013013460112329"</f>
        <v>48712023013013460112329</v>
      </c>
      <c r="C349" s="6" t="str">
        <f t="shared" si="81"/>
        <v>0201</v>
      </c>
      <c r="D349" s="6" t="s">
        <v>12</v>
      </c>
      <c r="E349" s="6" t="s">
        <v>13</v>
      </c>
      <c r="F349" s="6" t="str">
        <f>"吴婷玉"</f>
        <v>吴婷玉</v>
      </c>
      <c r="G349" s="6" t="str">
        <f t="shared" si="89"/>
        <v>女</v>
      </c>
      <c r="H349" s="6" t="str">
        <f>"1995-08-28"</f>
        <v>1995-08-28</v>
      </c>
      <c r="I349" s="6"/>
    </row>
    <row r="350" s="1" customFormat="1" ht="30" customHeight="1" spans="1:9">
      <c r="A350" s="6">
        <v>348</v>
      </c>
      <c r="B350" s="6" t="str">
        <f>"48712023013014032312341"</f>
        <v>48712023013014032312341</v>
      </c>
      <c r="C350" s="6" t="str">
        <f t="shared" si="81"/>
        <v>0201</v>
      </c>
      <c r="D350" s="6" t="s">
        <v>12</v>
      </c>
      <c r="E350" s="6" t="s">
        <v>13</v>
      </c>
      <c r="F350" s="6" t="str">
        <f>"罗希特"</f>
        <v>罗希特</v>
      </c>
      <c r="G350" s="6" t="str">
        <f t="shared" si="89"/>
        <v>女</v>
      </c>
      <c r="H350" s="6" t="str">
        <f>"1997-01-14"</f>
        <v>1997-01-14</v>
      </c>
      <c r="I350" s="6"/>
    </row>
    <row r="351" s="1" customFormat="1" ht="30" customHeight="1" spans="1:9">
      <c r="A351" s="6">
        <v>349</v>
      </c>
      <c r="B351" s="6" t="str">
        <f>"48712023013014335412376"</f>
        <v>48712023013014335412376</v>
      </c>
      <c r="C351" s="6" t="str">
        <f t="shared" si="81"/>
        <v>0201</v>
      </c>
      <c r="D351" s="6" t="s">
        <v>12</v>
      </c>
      <c r="E351" s="6" t="s">
        <v>13</v>
      </c>
      <c r="F351" s="6" t="str">
        <f>"羊位婧"</f>
        <v>羊位婧</v>
      </c>
      <c r="G351" s="6" t="str">
        <f t="shared" si="89"/>
        <v>女</v>
      </c>
      <c r="H351" s="6" t="str">
        <f>"2000-11-09"</f>
        <v>2000-11-09</v>
      </c>
      <c r="I351" s="6"/>
    </row>
    <row r="352" s="1" customFormat="1" ht="30" customHeight="1" spans="1:9">
      <c r="A352" s="6">
        <v>350</v>
      </c>
      <c r="B352" s="6" t="str">
        <f>"48712023013014353912379"</f>
        <v>48712023013014353912379</v>
      </c>
      <c r="C352" s="6" t="str">
        <f t="shared" si="81"/>
        <v>0201</v>
      </c>
      <c r="D352" s="6" t="s">
        <v>12</v>
      </c>
      <c r="E352" s="6" t="s">
        <v>13</v>
      </c>
      <c r="F352" s="6" t="str">
        <f>"李彦桦"</f>
        <v>李彦桦</v>
      </c>
      <c r="G352" s="6" t="str">
        <f t="shared" si="89"/>
        <v>女</v>
      </c>
      <c r="H352" s="6" t="str">
        <f>"1997-02-02"</f>
        <v>1997-02-02</v>
      </c>
      <c r="I352" s="6"/>
    </row>
    <row r="353" s="1" customFormat="1" ht="30" customHeight="1" spans="1:9">
      <c r="A353" s="6">
        <v>351</v>
      </c>
      <c r="B353" s="6" t="str">
        <f>"48712023013014415012392"</f>
        <v>48712023013014415012392</v>
      </c>
      <c r="C353" s="6" t="str">
        <f t="shared" si="81"/>
        <v>0201</v>
      </c>
      <c r="D353" s="6" t="s">
        <v>12</v>
      </c>
      <c r="E353" s="6" t="s">
        <v>13</v>
      </c>
      <c r="F353" s="6" t="str">
        <f>"吴乾青"</f>
        <v>吴乾青</v>
      </c>
      <c r="G353" s="6" t="str">
        <f t="shared" si="89"/>
        <v>女</v>
      </c>
      <c r="H353" s="6" t="str">
        <f>"1997-10-04"</f>
        <v>1997-10-04</v>
      </c>
      <c r="I353" s="6"/>
    </row>
    <row r="354" s="1" customFormat="1" ht="30" customHeight="1" spans="1:9">
      <c r="A354" s="6">
        <v>352</v>
      </c>
      <c r="B354" s="6" t="str">
        <f>"48712023013015111612419"</f>
        <v>48712023013015111612419</v>
      </c>
      <c r="C354" s="6" t="str">
        <f t="shared" si="81"/>
        <v>0201</v>
      </c>
      <c r="D354" s="6" t="s">
        <v>12</v>
      </c>
      <c r="E354" s="6" t="s">
        <v>13</v>
      </c>
      <c r="F354" s="6" t="str">
        <f>"陈健"</f>
        <v>陈健</v>
      </c>
      <c r="G354" s="6" t="str">
        <f>"男"</f>
        <v>男</v>
      </c>
      <c r="H354" s="6" t="str">
        <f>"1997-12-07"</f>
        <v>1997-12-07</v>
      </c>
      <c r="I354" s="6"/>
    </row>
    <row r="355" s="1" customFormat="1" ht="30" customHeight="1" spans="1:9">
      <c r="A355" s="6">
        <v>353</v>
      </c>
      <c r="B355" s="6" t="str">
        <f>"48712023013015344912446"</f>
        <v>48712023013015344912446</v>
      </c>
      <c r="C355" s="6" t="str">
        <f t="shared" si="81"/>
        <v>0201</v>
      </c>
      <c r="D355" s="6" t="s">
        <v>12</v>
      </c>
      <c r="E355" s="6" t="s">
        <v>13</v>
      </c>
      <c r="F355" s="6" t="str">
        <f>"莫钰雯"</f>
        <v>莫钰雯</v>
      </c>
      <c r="G355" s="6" t="str">
        <f t="shared" ref="G355:G362" si="90">"女"</f>
        <v>女</v>
      </c>
      <c r="H355" s="6" t="str">
        <f>"2000-06-06"</f>
        <v>2000-06-06</v>
      </c>
      <c r="I355" s="6"/>
    </row>
    <row r="356" s="1" customFormat="1" ht="30" customHeight="1" spans="1:9">
      <c r="A356" s="6">
        <v>354</v>
      </c>
      <c r="B356" s="6" t="str">
        <f>"48712023013015410312454"</f>
        <v>48712023013015410312454</v>
      </c>
      <c r="C356" s="6" t="str">
        <f t="shared" si="81"/>
        <v>0201</v>
      </c>
      <c r="D356" s="6" t="s">
        <v>12</v>
      </c>
      <c r="E356" s="6" t="s">
        <v>13</v>
      </c>
      <c r="F356" s="6" t="str">
        <f>"聂晓宇"</f>
        <v>聂晓宇</v>
      </c>
      <c r="G356" s="6" t="str">
        <f t="shared" si="90"/>
        <v>女</v>
      </c>
      <c r="H356" s="6" t="str">
        <f>"1988-04-17"</f>
        <v>1988-04-17</v>
      </c>
      <c r="I356" s="6"/>
    </row>
    <row r="357" s="1" customFormat="1" ht="30" customHeight="1" spans="1:9">
      <c r="A357" s="6">
        <v>355</v>
      </c>
      <c r="B357" s="6" t="str">
        <f>"48712023013015425912457"</f>
        <v>48712023013015425912457</v>
      </c>
      <c r="C357" s="6" t="str">
        <f t="shared" si="81"/>
        <v>0201</v>
      </c>
      <c r="D357" s="6" t="s">
        <v>12</v>
      </c>
      <c r="E357" s="6" t="s">
        <v>13</v>
      </c>
      <c r="F357" s="6" t="str">
        <f>"曾珊珊"</f>
        <v>曾珊珊</v>
      </c>
      <c r="G357" s="6" t="str">
        <f t="shared" si="90"/>
        <v>女</v>
      </c>
      <c r="H357" s="6" t="str">
        <f>"1994-06-16"</f>
        <v>1994-06-16</v>
      </c>
      <c r="I357" s="6"/>
    </row>
    <row r="358" s="1" customFormat="1" ht="30" customHeight="1" spans="1:9">
      <c r="A358" s="6">
        <v>356</v>
      </c>
      <c r="B358" s="6" t="str">
        <f>"48712023013015512512469"</f>
        <v>48712023013015512512469</v>
      </c>
      <c r="C358" s="6" t="str">
        <f t="shared" si="81"/>
        <v>0201</v>
      </c>
      <c r="D358" s="6" t="s">
        <v>12</v>
      </c>
      <c r="E358" s="6" t="s">
        <v>13</v>
      </c>
      <c r="F358" s="6" t="str">
        <f>"董翼宁"</f>
        <v>董翼宁</v>
      </c>
      <c r="G358" s="6" t="str">
        <f t="shared" si="90"/>
        <v>女</v>
      </c>
      <c r="H358" s="6" t="str">
        <f>"1993-02-08"</f>
        <v>1993-02-08</v>
      </c>
      <c r="I358" s="6"/>
    </row>
    <row r="359" s="1" customFormat="1" ht="30" customHeight="1" spans="1:9">
      <c r="A359" s="6">
        <v>357</v>
      </c>
      <c r="B359" s="6" t="str">
        <f>"48712023013016165612498"</f>
        <v>48712023013016165612498</v>
      </c>
      <c r="C359" s="6" t="str">
        <f t="shared" si="81"/>
        <v>0201</v>
      </c>
      <c r="D359" s="6" t="s">
        <v>12</v>
      </c>
      <c r="E359" s="6" t="s">
        <v>13</v>
      </c>
      <c r="F359" s="6" t="str">
        <f>"符芳若"</f>
        <v>符芳若</v>
      </c>
      <c r="G359" s="6" t="str">
        <f t="shared" si="90"/>
        <v>女</v>
      </c>
      <c r="H359" s="6" t="str">
        <f>"1992-11-19"</f>
        <v>1992-11-19</v>
      </c>
      <c r="I359" s="6"/>
    </row>
    <row r="360" s="1" customFormat="1" ht="30" customHeight="1" spans="1:9">
      <c r="A360" s="6">
        <v>358</v>
      </c>
      <c r="B360" s="6" t="str">
        <f>"48712023013016272312510"</f>
        <v>48712023013016272312510</v>
      </c>
      <c r="C360" s="6" t="str">
        <f t="shared" si="81"/>
        <v>0201</v>
      </c>
      <c r="D360" s="6" t="s">
        <v>12</v>
      </c>
      <c r="E360" s="6" t="s">
        <v>13</v>
      </c>
      <c r="F360" s="6" t="str">
        <f>"吴晓君"</f>
        <v>吴晓君</v>
      </c>
      <c r="G360" s="6" t="str">
        <f t="shared" si="90"/>
        <v>女</v>
      </c>
      <c r="H360" s="6" t="str">
        <f>"1989-09-02"</f>
        <v>1989-09-02</v>
      </c>
      <c r="I360" s="6"/>
    </row>
    <row r="361" s="1" customFormat="1" ht="30" customHeight="1" spans="1:9">
      <c r="A361" s="6">
        <v>359</v>
      </c>
      <c r="B361" s="6" t="str">
        <f>"48712023013016305512514"</f>
        <v>48712023013016305512514</v>
      </c>
      <c r="C361" s="6" t="str">
        <f t="shared" si="81"/>
        <v>0201</v>
      </c>
      <c r="D361" s="6" t="s">
        <v>12</v>
      </c>
      <c r="E361" s="6" t="s">
        <v>13</v>
      </c>
      <c r="F361" s="6" t="str">
        <f>"熊慧"</f>
        <v>熊慧</v>
      </c>
      <c r="G361" s="6" t="str">
        <f t="shared" si="90"/>
        <v>女</v>
      </c>
      <c r="H361" s="6" t="str">
        <f>"1997-05-22"</f>
        <v>1997-05-22</v>
      </c>
      <c r="I361" s="6"/>
    </row>
    <row r="362" s="1" customFormat="1" ht="30" customHeight="1" spans="1:9">
      <c r="A362" s="6">
        <v>360</v>
      </c>
      <c r="B362" s="6" t="str">
        <f>"48712023013016441612527"</f>
        <v>48712023013016441612527</v>
      </c>
      <c r="C362" s="6" t="str">
        <f t="shared" si="81"/>
        <v>0201</v>
      </c>
      <c r="D362" s="6" t="s">
        <v>12</v>
      </c>
      <c r="E362" s="6" t="s">
        <v>13</v>
      </c>
      <c r="F362" s="6" t="str">
        <f>"林子婷"</f>
        <v>林子婷</v>
      </c>
      <c r="G362" s="6" t="str">
        <f t="shared" si="90"/>
        <v>女</v>
      </c>
      <c r="H362" s="6" t="str">
        <f>"1990-11-06"</f>
        <v>1990-11-06</v>
      </c>
      <c r="I362" s="6"/>
    </row>
    <row r="363" s="1" customFormat="1" ht="30" customHeight="1" spans="1:9">
      <c r="A363" s="6">
        <v>361</v>
      </c>
      <c r="B363" s="6" t="str">
        <f>"48712023013016512112537"</f>
        <v>48712023013016512112537</v>
      </c>
      <c r="C363" s="6" t="str">
        <f t="shared" si="81"/>
        <v>0201</v>
      </c>
      <c r="D363" s="6" t="s">
        <v>12</v>
      </c>
      <c r="E363" s="6" t="s">
        <v>13</v>
      </c>
      <c r="F363" s="6" t="str">
        <f>"陈汉钊"</f>
        <v>陈汉钊</v>
      </c>
      <c r="G363" s="6" t="str">
        <f t="shared" ref="G363:G367" si="91">"男"</f>
        <v>男</v>
      </c>
      <c r="H363" s="6" t="str">
        <f>"1999-02-18"</f>
        <v>1999-02-18</v>
      </c>
      <c r="I363" s="6"/>
    </row>
    <row r="364" s="1" customFormat="1" ht="30" customHeight="1" spans="1:9">
      <c r="A364" s="6">
        <v>362</v>
      </c>
      <c r="B364" s="6" t="str">
        <f>"48712023013017115512560"</f>
        <v>48712023013017115512560</v>
      </c>
      <c r="C364" s="6" t="str">
        <f t="shared" si="81"/>
        <v>0201</v>
      </c>
      <c r="D364" s="6" t="s">
        <v>12</v>
      </c>
      <c r="E364" s="6" t="s">
        <v>13</v>
      </c>
      <c r="F364" s="6" t="str">
        <f>"麦著龙"</f>
        <v>麦著龙</v>
      </c>
      <c r="G364" s="6" t="str">
        <f t="shared" si="91"/>
        <v>男</v>
      </c>
      <c r="H364" s="6" t="str">
        <f>"1989-10-21"</f>
        <v>1989-10-21</v>
      </c>
      <c r="I364" s="6"/>
    </row>
    <row r="365" s="1" customFormat="1" ht="30" customHeight="1" spans="1:9">
      <c r="A365" s="6">
        <v>363</v>
      </c>
      <c r="B365" s="6" t="str">
        <f>"48712023013017175812566"</f>
        <v>48712023013017175812566</v>
      </c>
      <c r="C365" s="6" t="str">
        <f t="shared" ref="C365:C428" si="92">"0201"</f>
        <v>0201</v>
      </c>
      <c r="D365" s="6" t="s">
        <v>12</v>
      </c>
      <c r="E365" s="6" t="s">
        <v>13</v>
      </c>
      <c r="F365" s="6" t="str">
        <f>"王晓婷"</f>
        <v>王晓婷</v>
      </c>
      <c r="G365" s="6" t="str">
        <f t="shared" ref="G365:G369" si="93">"女"</f>
        <v>女</v>
      </c>
      <c r="H365" s="6" t="str">
        <f>"1995-09-13"</f>
        <v>1995-09-13</v>
      </c>
      <c r="I365" s="6"/>
    </row>
    <row r="366" s="1" customFormat="1" ht="30" customHeight="1" spans="1:9">
      <c r="A366" s="6">
        <v>364</v>
      </c>
      <c r="B366" s="6" t="str">
        <f>"48712023013017305512584"</f>
        <v>48712023013017305512584</v>
      </c>
      <c r="C366" s="6" t="str">
        <f t="shared" si="92"/>
        <v>0201</v>
      </c>
      <c r="D366" s="6" t="s">
        <v>12</v>
      </c>
      <c r="E366" s="6" t="s">
        <v>13</v>
      </c>
      <c r="F366" s="6" t="str">
        <f>"林凡舒"</f>
        <v>林凡舒</v>
      </c>
      <c r="G366" s="6" t="str">
        <f t="shared" si="93"/>
        <v>女</v>
      </c>
      <c r="H366" s="6" t="str">
        <f>"2000-05-01"</f>
        <v>2000-05-01</v>
      </c>
      <c r="I366" s="6"/>
    </row>
    <row r="367" s="1" customFormat="1" ht="30" customHeight="1" spans="1:9">
      <c r="A367" s="6">
        <v>365</v>
      </c>
      <c r="B367" s="6" t="str">
        <f>"48712023013017383912591"</f>
        <v>48712023013017383912591</v>
      </c>
      <c r="C367" s="6" t="str">
        <f t="shared" si="92"/>
        <v>0201</v>
      </c>
      <c r="D367" s="6" t="s">
        <v>12</v>
      </c>
      <c r="E367" s="6" t="s">
        <v>13</v>
      </c>
      <c r="F367" s="6" t="str">
        <f>"傅后宏"</f>
        <v>傅后宏</v>
      </c>
      <c r="G367" s="6" t="str">
        <f t="shared" si="91"/>
        <v>男</v>
      </c>
      <c r="H367" s="6" t="str">
        <f>"1999-11-06"</f>
        <v>1999-11-06</v>
      </c>
      <c r="I367" s="6"/>
    </row>
    <row r="368" s="1" customFormat="1" ht="30" customHeight="1" spans="1:9">
      <c r="A368" s="6">
        <v>366</v>
      </c>
      <c r="B368" s="6" t="str">
        <f>"48712023013017455312599"</f>
        <v>48712023013017455312599</v>
      </c>
      <c r="C368" s="6" t="str">
        <f t="shared" si="92"/>
        <v>0201</v>
      </c>
      <c r="D368" s="6" t="s">
        <v>12</v>
      </c>
      <c r="E368" s="6" t="s">
        <v>13</v>
      </c>
      <c r="F368" s="6" t="str">
        <f>"莫雪妮"</f>
        <v>莫雪妮</v>
      </c>
      <c r="G368" s="6" t="str">
        <f t="shared" si="93"/>
        <v>女</v>
      </c>
      <c r="H368" s="6" t="str">
        <f>"1999-07-12"</f>
        <v>1999-07-12</v>
      </c>
      <c r="I368" s="6"/>
    </row>
    <row r="369" s="1" customFormat="1" ht="30" customHeight="1" spans="1:9">
      <c r="A369" s="6">
        <v>367</v>
      </c>
      <c r="B369" s="6" t="str">
        <f>"48712023013018413912644"</f>
        <v>48712023013018413912644</v>
      </c>
      <c r="C369" s="6" t="str">
        <f t="shared" si="92"/>
        <v>0201</v>
      </c>
      <c r="D369" s="6" t="s">
        <v>12</v>
      </c>
      <c r="E369" s="6" t="s">
        <v>13</v>
      </c>
      <c r="F369" s="6" t="str">
        <f>"陈婷婷"</f>
        <v>陈婷婷</v>
      </c>
      <c r="G369" s="6" t="str">
        <f t="shared" si="93"/>
        <v>女</v>
      </c>
      <c r="H369" s="6" t="str">
        <f>"1991-03-18"</f>
        <v>1991-03-18</v>
      </c>
      <c r="I369" s="6"/>
    </row>
    <row r="370" s="1" customFormat="1" ht="30" customHeight="1" spans="1:9">
      <c r="A370" s="6">
        <v>368</v>
      </c>
      <c r="B370" s="6" t="str">
        <f>"48712023013018452012645"</f>
        <v>48712023013018452012645</v>
      </c>
      <c r="C370" s="6" t="str">
        <f t="shared" si="92"/>
        <v>0201</v>
      </c>
      <c r="D370" s="6" t="s">
        <v>12</v>
      </c>
      <c r="E370" s="6" t="s">
        <v>13</v>
      </c>
      <c r="F370" s="6" t="str">
        <f>"刘顺"</f>
        <v>刘顺</v>
      </c>
      <c r="G370" s="6" t="str">
        <f>"男"</f>
        <v>男</v>
      </c>
      <c r="H370" s="6" t="str">
        <f>"1987-09-04"</f>
        <v>1987-09-04</v>
      </c>
      <c r="I370" s="6"/>
    </row>
    <row r="371" s="1" customFormat="1" ht="30" customHeight="1" spans="1:9">
      <c r="A371" s="6">
        <v>369</v>
      </c>
      <c r="B371" s="6" t="str">
        <f>"48712023013018490412651"</f>
        <v>48712023013018490412651</v>
      </c>
      <c r="C371" s="6" t="str">
        <f t="shared" si="92"/>
        <v>0201</v>
      </c>
      <c r="D371" s="6" t="s">
        <v>12</v>
      </c>
      <c r="E371" s="6" t="s">
        <v>13</v>
      </c>
      <c r="F371" s="6" t="str">
        <f>"曾桂花"</f>
        <v>曾桂花</v>
      </c>
      <c r="G371" s="6" t="str">
        <f t="shared" ref="G371:G378" si="94">"女"</f>
        <v>女</v>
      </c>
      <c r="H371" s="6" t="str">
        <f>"1990-05-25"</f>
        <v>1990-05-25</v>
      </c>
      <c r="I371" s="6"/>
    </row>
    <row r="372" s="1" customFormat="1" ht="30" customHeight="1" spans="1:9">
      <c r="A372" s="6">
        <v>370</v>
      </c>
      <c r="B372" s="6" t="str">
        <f>"48712023013018560612659"</f>
        <v>48712023013018560612659</v>
      </c>
      <c r="C372" s="6" t="str">
        <f t="shared" si="92"/>
        <v>0201</v>
      </c>
      <c r="D372" s="6" t="s">
        <v>12</v>
      </c>
      <c r="E372" s="6" t="s">
        <v>13</v>
      </c>
      <c r="F372" s="6" t="str">
        <f>"邓嘉雯"</f>
        <v>邓嘉雯</v>
      </c>
      <c r="G372" s="6" t="str">
        <f t="shared" si="94"/>
        <v>女</v>
      </c>
      <c r="H372" s="6" t="str">
        <f>"1993-03-15"</f>
        <v>1993-03-15</v>
      </c>
      <c r="I372" s="6"/>
    </row>
    <row r="373" s="1" customFormat="1" ht="30" customHeight="1" spans="1:9">
      <c r="A373" s="6">
        <v>371</v>
      </c>
      <c r="B373" s="6" t="str">
        <f>"48712023013018581512661"</f>
        <v>48712023013018581512661</v>
      </c>
      <c r="C373" s="6" t="str">
        <f t="shared" si="92"/>
        <v>0201</v>
      </c>
      <c r="D373" s="6" t="s">
        <v>12</v>
      </c>
      <c r="E373" s="6" t="s">
        <v>13</v>
      </c>
      <c r="F373" s="6" t="str">
        <f>"张昊亮"</f>
        <v>张昊亮</v>
      </c>
      <c r="G373" s="6" t="str">
        <f>"男"</f>
        <v>男</v>
      </c>
      <c r="H373" s="6" t="str">
        <f>"1990-05-30"</f>
        <v>1990-05-30</v>
      </c>
      <c r="I373" s="6"/>
    </row>
    <row r="374" s="1" customFormat="1" ht="30" customHeight="1" spans="1:9">
      <c r="A374" s="6">
        <v>372</v>
      </c>
      <c r="B374" s="6" t="str">
        <f>"48712023013019155812682"</f>
        <v>48712023013019155812682</v>
      </c>
      <c r="C374" s="6" t="str">
        <f t="shared" si="92"/>
        <v>0201</v>
      </c>
      <c r="D374" s="6" t="s">
        <v>12</v>
      </c>
      <c r="E374" s="6" t="s">
        <v>13</v>
      </c>
      <c r="F374" s="6" t="str">
        <f>"羊灵慧"</f>
        <v>羊灵慧</v>
      </c>
      <c r="G374" s="6" t="str">
        <f t="shared" si="94"/>
        <v>女</v>
      </c>
      <c r="H374" s="6" t="str">
        <f>"1997-10-23"</f>
        <v>1997-10-23</v>
      </c>
      <c r="I374" s="6"/>
    </row>
    <row r="375" s="1" customFormat="1" ht="30" customHeight="1" spans="1:9">
      <c r="A375" s="6">
        <v>373</v>
      </c>
      <c r="B375" s="6" t="str">
        <f>"48712023013019351012705"</f>
        <v>48712023013019351012705</v>
      </c>
      <c r="C375" s="6" t="str">
        <f t="shared" si="92"/>
        <v>0201</v>
      </c>
      <c r="D375" s="6" t="s">
        <v>12</v>
      </c>
      <c r="E375" s="6" t="s">
        <v>13</v>
      </c>
      <c r="F375" s="6" t="str">
        <f>"陈泽苑"</f>
        <v>陈泽苑</v>
      </c>
      <c r="G375" s="6" t="str">
        <f t="shared" si="94"/>
        <v>女</v>
      </c>
      <c r="H375" s="6" t="str">
        <f>"1999-11-30"</f>
        <v>1999-11-30</v>
      </c>
      <c r="I375" s="6"/>
    </row>
    <row r="376" s="1" customFormat="1" ht="30" customHeight="1" spans="1:9">
      <c r="A376" s="6">
        <v>374</v>
      </c>
      <c r="B376" s="6" t="str">
        <f>"48712023013019514912721"</f>
        <v>48712023013019514912721</v>
      </c>
      <c r="C376" s="6" t="str">
        <f t="shared" si="92"/>
        <v>0201</v>
      </c>
      <c r="D376" s="6" t="s">
        <v>12</v>
      </c>
      <c r="E376" s="6" t="s">
        <v>13</v>
      </c>
      <c r="F376" s="6" t="str">
        <f>"钱思冶"</f>
        <v>钱思冶</v>
      </c>
      <c r="G376" s="6" t="str">
        <f t="shared" si="94"/>
        <v>女</v>
      </c>
      <c r="H376" s="6" t="str">
        <f>"1999-02-11"</f>
        <v>1999-02-11</v>
      </c>
      <c r="I376" s="6"/>
    </row>
    <row r="377" s="1" customFormat="1" ht="30" customHeight="1" spans="1:9">
      <c r="A377" s="6">
        <v>375</v>
      </c>
      <c r="B377" s="6" t="str">
        <f>"48712023013020031612733"</f>
        <v>48712023013020031612733</v>
      </c>
      <c r="C377" s="6" t="str">
        <f t="shared" si="92"/>
        <v>0201</v>
      </c>
      <c r="D377" s="6" t="s">
        <v>12</v>
      </c>
      <c r="E377" s="6" t="s">
        <v>13</v>
      </c>
      <c r="F377" s="6" t="str">
        <f>"王小娟"</f>
        <v>王小娟</v>
      </c>
      <c r="G377" s="6" t="str">
        <f t="shared" si="94"/>
        <v>女</v>
      </c>
      <c r="H377" s="6" t="str">
        <f>"1993-07-06"</f>
        <v>1993-07-06</v>
      </c>
      <c r="I377" s="6"/>
    </row>
    <row r="378" s="1" customFormat="1" ht="30" customHeight="1" spans="1:9">
      <c r="A378" s="6">
        <v>376</v>
      </c>
      <c r="B378" s="6" t="str">
        <f>"48712023013020074012735"</f>
        <v>48712023013020074012735</v>
      </c>
      <c r="C378" s="6" t="str">
        <f t="shared" si="92"/>
        <v>0201</v>
      </c>
      <c r="D378" s="6" t="s">
        <v>12</v>
      </c>
      <c r="E378" s="6" t="s">
        <v>13</v>
      </c>
      <c r="F378" s="6" t="str">
        <f>"李家鑫"</f>
        <v>李家鑫</v>
      </c>
      <c r="G378" s="6" t="str">
        <f t="shared" si="94"/>
        <v>女</v>
      </c>
      <c r="H378" s="6" t="str">
        <f>"1998-02-08"</f>
        <v>1998-02-08</v>
      </c>
      <c r="I378" s="6"/>
    </row>
    <row r="379" s="1" customFormat="1" ht="30" customHeight="1" spans="1:9">
      <c r="A379" s="6">
        <v>377</v>
      </c>
      <c r="B379" s="6" t="str">
        <f>"48712023013020202712746"</f>
        <v>48712023013020202712746</v>
      </c>
      <c r="C379" s="6" t="str">
        <f t="shared" si="92"/>
        <v>0201</v>
      </c>
      <c r="D379" s="6" t="s">
        <v>12</v>
      </c>
      <c r="E379" s="6" t="s">
        <v>13</v>
      </c>
      <c r="F379" s="6" t="str">
        <f>"陈金宁"</f>
        <v>陈金宁</v>
      </c>
      <c r="G379" s="6" t="str">
        <f t="shared" ref="G379:G384" si="95">"男"</f>
        <v>男</v>
      </c>
      <c r="H379" s="6" t="str">
        <f>"1992-12-09"</f>
        <v>1992-12-09</v>
      </c>
      <c r="I379" s="6"/>
    </row>
    <row r="380" s="1" customFormat="1" ht="30" customHeight="1" spans="1:9">
      <c r="A380" s="6">
        <v>378</v>
      </c>
      <c r="B380" s="6" t="str">
        <f>"48712023013020270412766"</f>
        <v>48712023013020270412766</v>
      </c>
      <c r="C380" s="6" t="str">
        <f t="shared" si="92"/>
        <v>0201</v>
      </c>
      <c r="D380" s="6" t="s">
        <v>12</v>
      </c>
      <c r="E380" s="6" t="s">
        <v>13</v>
      </c>
      <c r="F380" s="6" t="str">
        <f>"莫丽花"</f>
        <v>莫丽花</v>
      </c>
      <c r="G380" s="6" t="str">
        <f t="shared" ref="G380:G382" si="96">"女"</f>
        <v>女</v>
      </c>
      <c r="H380" s="6" t="str">
        <f>"1993-01-15"</f>
        <v>1993-01-15</v>
      </c>
      <c r="I380" s="6"/>
    </row>
    <row r="381" s="1" customFormat="1" ht="30" customHeight="1" spans="1:9">
      <c r="A381" s="6">
        <v>379</v>
      </c>
      <c r="B381" s="6" t="str">
        <f>"48712023013020331212770"</f>
        <v>48712023013020331212770</v>
      </c>
      <c r="C381" s="6" t="str">
        <f t="shared" si="92"/>
        <v>0201</v>
      </c>
      <c r="D381" s="6" t="s">
        <v>12</v>
      </c>
      <c r="E381" s="6" t="s">
        <v>13</v>
      </c>
      <c r="F381" s="6" t="str">
        <f>"农惠"</f>
        <v>农惠</v>
      </c>
      <c r="G381" s="6" t="str">
        <f t="shared" si="96"/>
        <v>女</v>
      </c>
      <c r="H381" s="6" t="str">
        <f>"1995-08-21"</f>
        <v>1995-08-21</v>
      </c>
      <c r="I381" s="6"/>
    </row>
    <row r="382" s="1" customFormat="1" ht="30" customHeight="1" spans="1:9">
      <c r="A382" s="6">
        <v>380</v>
      </c>
      <c r="B382" s="6" t="str">
        <f>"48712023013021120512803"</f>
        <v>48712023013021120512803</v>
      </c>
      <c r="C382" s="6" t="str">
        <f t="shared" si="92"/>
        <v>0201</v>
      </c>
      <c r="D382" s="6" t="s">
        <v>12</v>
      </c>
      <c r="E382" s="6" t="s">
        <v>13</v>
      </c>
      <c r="F382" s="6" t="str">
        <f>"周博文"</f>
        <v>周博文</v>
      </c>
      <c r="G382" s="6" t="str">
        <f t="shared" si="96"/>
        <v>女</v>
      </c>
      <c r="H382" s="6" t="str">
        <f>"1998-10-01"</f>
        <v>1998-10-01</v>
      </c>
      <c r="I382" s="6"/>
    </row>
    <row r="383" s="1" customFormat="1" ht="30" customHeight="1" spans="1:9">
      <c r="A383" s="6">
        <v>381</v>
      </c>
      <c r="B383" s="6" t="str">
        <f>"48712023013021125712804"</f>
        <v>48712023013021125712804</v>
      </c>
      <c r="C383" s="6" t="str">
        <f t="shared" si="92"/>
        <v>0201</v>
      </c>
      <c r="D383" s="6" t="s">
        <v>12</v>
      </c>
      <c r="E383" s="6" t="s">
        <v>13</v>
      </c>
      <c r="F383" s="6" t="str">
        <f>"黎江"</f>
        <v>黎江</v>
      </c>
      <c r="G383" s="6" t="str">
        <f t="shared" si="95"/>
        <v>男</v>
      </c>
      <c r="H383" s="6" t="str">
        <f>"1994-10-30"</f>
        <v>1994-10-30</v>
      </c>
      <c r="I383" s="6"/>
    </row>
    <row r="384" s="1" customFormat="1" ht="30" customHeight="1" spans="1:9">
      <c r="A384" s="6">
        <v>382</v>
      </c>
      <c r="B384" s="6" t="str">
        <f>"48712023013021142112807"</f>
        <v>48712023013021142112807</v>
      </c>
      <c r="C384" s="6" t="str">
        <f t="shared" si="92"/>
        <v>0201</v>
      </c>
      <c r="D384" s="6" t="s">
        <v>12</v>
      </c>
      <c r="E384" s="6" t="s">
        <v>13</v>
      </c>
      <c r="F384" s="6" t="str">
        <f>"黎李根"</f>
        <v>黎李根</v>
      </c>
      <c r="G384" s="6" t="str">
        <f t="shared" si="95"/>
        <v>男</v>
      </c>
      <c r="H384" s="6" t="str">
        <f>"1991-01-27"</f>
        <v>1991-01-27</v>
      </c>
      <c r="I384" s="6"/>
    </row>
    <row r="385" s="1" customFormat="1" ht="30" customHeight="1" spans="1:9">
      <c r="A385" s="6">
        <v>383</v>
      </c>
      <c r="B385" s="6" t="str">
        <f>"48712023013021171812809"</f>
        <v>48712023013021171812809</v>
      </c>
      <c r="C385" s="6" t="str">
        <f t="shared" si="92"/>
        <v>0201</v>
      </c>
      <c r="D385" s="6" t="s">
        <v>12</v>
      </c>
      <c r="E385" s="6" t="s">
        <v>13</v>
      </c>
      <c r="F385" s="6" t="str">
        <f>"黄娇"</f>
        <v>黄娇</v>
      </c>
      <c r="G385" s="6" t="str">
        <f t="shared" ref="G385:G393" si="97">"女"</f>
        <v>女</v>
      </c>
      <c r="H385" s="6" t="str">
        <f>"1999-02-25"</f>
        <v>1999-02-25</v>
      </c>
      <c r="I385" s="6"/>
    </row>
    <row r="386" s="1" customFormat="1" ht="30" customHeight="1" spans="1:9">
      <c r="A386" s="6">
        <v>384</v>
      </c>
      <c r="B386" s="6" t="str">
        <f>"48712023013021220212815"</f>
        <v>48712023013021220212815</v>
      </c>
      <c r="C386" s="6" t="str">
        <f t="shared" si="92"/>
        <v>0201</v>
      </c>
      <c r="D386" s="6" t="s">
        <v>12</v>
      </c>
      <c r="E386" s="6" t="s">
        <v>13</v>
      </c>
      <c r="F386" s="6" t="str">
        <f>"潘云茜"</f>
        <v>潘云茜</v>
      </c>
      <c r="G386" s="6" t="str">
        <f t="shared" si="97"/>
        <v>女</v>
      </c>
      <c r="H386" s="6" t="str">
        <f>"1999-01-20"</f>
        <v>1999-01-20</v>
      </c>
      <c r="I386" s="6"/>
    </row>
    <row r="387" s="1" customFormat="1" ht="30" customHeight="1" spans="1:9">
      <c r="A387" s="6">
        <v>385</v>
      </c>
      <c r="B387" s="6" t="str">
        <f>"48712023013021301312825"</f>
        <v>48712023013021301312825</v>
      </c>
      <c r="C387" s="6" t="str">
        <f t="shared" si="92"/>
        <v>0201</v>
      </c>
      <c r="D387" s="6" t="s">
        <v>12</v>
      </c>
      <c r="E387" s="6" t="s">
        <v>13</v>
      </c>
      <c r="F387" s="6" t="str">
        <f>"谭玉容"</f>
        <v>谭玉容</v>
      </c>
      <c r="G387" s="6" t="str">
        <f t="shared" si="97"/>
        <v>女</v>
      </c>
      <c r="H387" s="6" t="str">
        <f>"2000-03-11"</f>
        <v>2000-03-11</v>
      </c>
      <c r="I387" s="6"/>
    </row>
    <row r="388" s="1" customFormat="1" ht="30" customHeight="1" spans="1:9">
      <c r="A388" s="6">
        <v>386</v>
      </c>
      <c r="B388" s="6" t="str">
        <f>"48712023013021330912827"</f>
        <v>48712023013021330912827</v>
      </c>
      <c r="C388" s="6" t="str">
        <f t="shared" si="92"/>
        <v>0201</v>
      </c>
      <c r="D388" s="6" t="s">
        <v>12</v>
      </c>
      <c r="E388" s="6" t="s">
        <v>13</v>
      </c>
      <c r="F388" s="6" t="str">
        <f>"符永佳"</f>
        <v>符永佳</v>
      </c>
      <c r="G388" s="6" t="str">
        <f t="shared" si="97"/>
        <v>女</v>
      </c>
      <c r="H388" s="6" t="str">
        <f>"1997-07-12"</f>
        <v>1997-07-12</v>
      </c>
      <c r="I388" s="6"/>
    </row>
    <row r="389" s="1" customFormat="1" ht="30" customHeight="1" spans="1:9">
      <c r="A389" s="6">
        <v>387</v>
      </c>
      <c r="B389" s="6" t="str">
        <f>"48712023013021352412829"</f>
        <v>48712023013021352412829</v>
      </c>
      <c r="C389" s="6" t="str">
        <f t="shared" si="92"/>
        <v>0201</v>
      </c>
      <c r="D389" s="6" t="s">
        <v>12</v>
      </c>
      <c r="E389" s="6" t="s">
        <v>13</v>
      </c>
      <c r="F389" s="6" t="str">
        <f>"郭芳菊"</f>
        <v>郭芳菊</v>
      </c>
      <c r="G389" s="6" t="str">
        <f t="shared" si="97"/>
        <v>女</v>
      </c>
      <c r="H389" s="6" t="str">
        <f>"1991-09-18"</f>
        <v>1991-09-18</v>
      </c>
      <c r="I389" s="6"/>
    </row>
    <row r="390" s="1" customFormat="1" ht="30" customHeight="1" spans="1:9">
      <c r="A390" s="6">
        <v>388</v>
      </c>
      <c r="B390" s="6" t="str">
        <f>"48712023013021442412839"</f>
        <v>48712023013021442412839</v>
      </c>
      <c r="C390" s="6" t="str">
        <f t="shared" si="92"/>
        <v>0201</v>
      </c>
      <c r="D390" s="6" t="s">
        <v>12</v>
      </c>
      <c r="E390" s="6" t="s">
        <v>13</v>
      </c>
      <c r="F390" s="6" t="str">
        <f>"曾日新"</f>
        <v>曾日新</v>
      </c>
      <c r="G390" s="6" t="str">
        <f t="shared" si="97"/>
        <v>女</v>
      </c>
      <c r="H390" s="6" t="str">
        <f>"1996-10-03"</f>
        <v>1996-10-03</v>
      </c>
      <c r="I390" s="6"/>
    </row>
    <row r="391" s="1" customFormat="1" ht="30" customHeight="1" spans="1:9">
      <c r="A391" s="6">
        <v>389</v>
      </c>
      <c r="B391" s="6" t="str">
        <f>"48712023013021513812852"</f>
        <v>48712023013021513812852</v>
      </c>
      <c r="C391" s="6" t="str">
        <f t="shared" si="92"/>
        <v>0201</v>
      </c>
      <c r="D391" s="6" t="s">
        <v>12</v>
      </c>
      <c r="E391" s="6" t="s">
        <v>13</v>
      </c>
      <c r="F391" s="6" t="str">
        <f>"孔妙华"</f>
        <v>孔妙华</v>
      </c>
      <c r="G391" s="6" t="str">
        <f t="shared" si="97"/>
        <v>女</v>
      </c>
      <c r="H391" s="6" t="str">
        <f>"1994-07-23"</f>
        <v>1994-07-23</v>
      </c>
      <c r="I391" s="6"/>
    </row>
    <row r="392" s="1" customFormat="1" ht="30" customHeight="1" spans="1:9">
      <c r="A392" s="6">
        <v>390</v>
      </c>
      <c r="B392" s="6" t="str">
        <f>"48712023013021543812857"</f>
        <v>48712023013021543812857</v>
      </c>
      <c r="C392" s="6" t="str">
        <f t="shared" si="92"/>
        <v>0201</v>
      </c>
      <c r="D392" s="6" t="s">
        <v>12</v>
      </c>
      <c r="E392" s="6" t="s">
        <v>13</v>
      </c>
      <c r="F392" s="6" t="str">
        <f>"阮璐"</f>
        <v>阮璐</v>
      </c>
      <c r="G392" s="6" t="str">
        <f t="shared" si="97"/>
        <v>女</v>
      </c>
      <c r="H392" s="6" t="str">
        <f>"2000-10-11"</f>
        <v>2000-10-11</v>
      </c>
      <c r="I392" s="6"/>
    </row>
    <row r="393" s="1" customFormat="1" ht="30" customHeight="1" spans="1:9">
      <c r="A393" s="6">
        <v>391</v>
      </c>
      <c r="B393" s="6" t="str">
        <f>"48712023013022180212877"</f>
        <v>48712023013022180212877</v>
      </c>
      <c r="C393" s="6" t="str">
        <f t="shared" si="92"/>
        <v>0201</v>
      </c>
      <c r="D393" s="6" t="s">
        <v>12</v>
      </c>
      <c r="E393" s="6" t="s">
        <v>13</v>
      </c>
      <c r="F393" s="6" t="str">
        <f>"符妙仙"</f>
        <v>符妙仙</v>
      </c>
      <c r="G393" s="6" t="str">
        <f t="shared" si="97"/>
        <v>女</v>
      </c>
      <c r="H393" s="6" t="str">
        <f>"1996-07-28"</f>
        <v>1996-07-28</v>
      </c>
      <c r="I393" s="6"/>
    </row>
    <row r="394" s="1" customFormat="1" ht="30" customHeight="1" spans="1:9">
      <c r="A394" s="6">
        <v>392</v>
      </c>
      <c r="B394" s="6" t="str">
        <f>"48712023013022231012881"</f>
        <v>48712023013022231012881</v>
      </c>
      <c r="C394" s="6" t="str">
        <f t="shared" si="92"/>
        <v>0201</v>
      </c>
      <c r="D394" s="6" t="s">
        <v>12</v>
      </c>
      <c r="E394" s="6" t="s">
        <v>13</v>
      </c>
      <c r="F394" s="6" t="str">
        <f>"胡丁中"</f>
        <v>胡丁中</v>
      </c>
      <c r="G394" s="6" t="str">
        <f t="shared" ref="G394:G399" si="98">"男"</f>
        <v>男</v>
      </c>
      <c r="H394" s="6" t="str">
        <f>"1998-08-01"</f>
        <v>1998-08-01</v>
      </c>
      <c r="I394" s="6"/>
    </row>
    <row r="395" s="1" customFormat="1" ht="30" customHeight="1" spans="1:9">
      <c r="A395" s="6">
        <v>393</v>
      </c>
      <c r="B395" s="6" t="str">
        <f>"48712023013023581712954"</f>
        <v>48712023013023581712954</v>
      </c>
      <c r="C395" s="6" t="str">
        <f t="shared" si="92"/>
        <v>0201</v>
      </c>
      <c r="D395" s="6" t="s">
        <v>12</v>
      </c>
      <c r="E395" s="6" t="s">
        <v>13</v>
      </c>
      <c r="F395" s="6" t="str">
        <f>"谢有龙"</f>
        <v>谢有龙</v>
      </c>
      <c r="G395" s="6" t="str">
        <f t="shared" si="98"/>
        <v>男</v>
      </c>
      <c r="H395" s="6" t="str">
        <f>"1991-03-09"</f>
        <v>1991-03-09</v>
      </c>
      <c r="I395" s="6"/>
    </row>
    <row r="396" s="1" customFormat="1" ht="30" customHeight="1" spans="1:9">
      <c r="A396" s="6">
        <v>394</v>
      </c>
      <c r="B396" s="6" t="str">
        <f>"48712023013023591212955"</f>
        <v>48712023013023591212955</v>
      </c>
      <c r="C396" s="6" t="str">
        <f t="shared" si="92"/>
        <v>0201</v>
      </c>
      <c r="D396" s="6" t="s">
        <v>12</v>
      </c>
      <c r="E396" s="6" t="s">
        <v>13</v>
      </c>
      <c r="F396" s="6" t="str">
        <f>"叶秋美"</f>
        <v>叶秋美</v>
      </c>
      <c r="G396" s="6" t="str">
        <f t="shared" ref="G396:G398" si="99">"女"</f>
        <v>女</v>
      </c>
      <c r="H396" s="6" t="str">
        <f>"1996-07-02"</f>
        <v>1996-07-02</v>
      </c>
      <c r="I396" s="6"/>
    </row>
    <row r="397" s="1" customFormat="1" ht="30" customHeight="1" spans="1:9">
      <c r="A397" s="6">
        <v>395</v>
      </c>
      <c r="B397" s="6" t="str">
        <f>"48712023013100283612965"</f>
        <v>48712023013100283612965</v>
      </c>
      <c r="C397" s="6" t="str">
        <f t="shared" si="92"/>
        <v>0201</v>
      </c>
      <c r="D397" s="6" t="s">
        <v>12</v>
      </c>
      <c r="E397" s="6" t="s">
        <v>13</v>
      </c>
      <c r="F397" s="6" t="str">
        <f>"吴亚强"</f>
        <v>吴亚强</v>
      </c>
      <c r="G397" s="6" t="str">
        <f t="shared" si="99"/>
        <v>女</v>
      </c>
      <c r="H397" s="6" t="str">
        <f>"1994-11-02"</f>
        <v>1994-11-02</v>
      </c>
      <c r="I397" s="6"/>
    </row>
    <row r="398" s="1" customFormat="1" ht="30" customHeight="1" spans="1:9">
      <c r="A398" s="6">
        <v>396</v>
      </c>
      <c r="B398" s="6" t="str">
        <f>"48712023013100335712967"</f>
        <v>48712023013100335712967</v>
      </c>
      <c r="C398" s="6" t="str">
        <f t="shared" si="92"/>
        <v>0201</v>
      </c>
      <c r="D398" s="6" t="s">
        <v>12</v>
      </c>
      <c r="E398" s="6" t="s">
        <v>13</v>
      </c>
      <c r="F398" s="6" t="str">
        <f>"谢安星"</f>
        <v>谢安星</v>
      </c>
      <c r="G398" s="6" t="str">
        <f t="shared" si="99"/>
        <v>女</v>
      </c>
      <c r="H398" s="6" t="str">
        <f>"1997-10-15"</f>
        <v>1997-10-15</v>
      </c>
      <c r="I398" s="6"/>
    </row>
    <row r="399" s="1" customFormat="1" ht="30" customHeight="1" spans="1:9">
      <c r="A399" s="6">
        <v>397</v>
      </c>
      <c r="B399" s="6" t="str">
        <f>"48712023013101091512974"</f>
        <v>48712023013101091512974</v>
      </c>
      <c r="C399" s="6" t="str">
        <f t="shared" si="92"/>
        <v>0201</v>
      </c>
      <c r="D399" s="6" t="s">
        <v>12</v>
      </c>
      <c r="E399" s="6" t="s">
        <v>13</v>
      </c>
      <c r="F399" s="6" t="str">
        <f>"陈浩"</f>
        <v>陈浩</v>
      </c>
      <c r="G399" s="6" t="str">
        <f t="shared" si="98"/>
        <v>男</v>
      </c>
      <c r="H399" s="6" t="str">
        <f>"1999-06-10"</f>
        <v>1999-06-10</v>
      </c>
      <c r="I399" s="6"/>
    </row>
    <row r="400" s="1" customFormat="1" ht="30" customHeight="1" spans="1:9">
      <c r="A400" s="6">
        <v>398</v>
      </c>
      <c r="B400" s="6" t="str">
        <f>"48712023013101425712979"</f>
        <v>48712023013101425712979</v>
      </c>
      <c r="C400" s="6" t="str">
        <f t="shared" si="92"/>
        <v>0201</v>
      </c>
      <c r="D400" s="6" t="s">
        <v>12</v>
      </c>
      <c r="E400" s="6" t="s">
        <v>13</v>
      </c>
      <c r="F400" s="6" t="str">
        <f>"吴爱丽"</f>
        <v>吴爱丽</v>
      </c>
      <c r="G400" s="6" t="str">
        <f t="shared" ref="G400:G404" si="100">"女"</f>
        <v>女</v>
      </c>
      <c r="H400" s="6" t="str">
        <f>"1996-02-17"</f>
        <v>1996-02-17</v>
      </c>
      <c r="I400" s="6"/>
    </row>
    <row r="401" s="1" customFormat="1" ht="30" customHeight="1" spans="1:9">
      <c r="A401" s="6">
        <v>399</v>
      </c>
      <c r="B401" s="6" t="str">
        <f>"48712023013108380713006"</f>
        <v>48712023013108380713006</v>
      </c>
      <c r="C401" s="6" t="str">
        <f t="shared" si="92"/>
        <v>0201</v>
      </c>
      <c r="D401" s="6" t="s">
        <v>12</v>
      </c>
      <c r="E401" s="6" t="s">
        <v>13</v>
      </c>
      <c r="F401" s="6" t="str">
        <f>"江成"</f>
        <v>江成</v>
      </c>
      <c r="G401" s="6" t="str">
        <f t="shared" ref="G401:G407" si="101">"男"</f>
        <v>男</v>
      </c>
      <c r="H401" s="6" t="str">
        <f>"1996-03-17"</f>
        <v>1996-03-17</v>
      </c>
      <c r="I401" s="6"/>
    </row>
    <row r="402" s="1" customFormat="1" ht="30" customHeight="1" spans="1:9">
      <c r="A402" s="6">
        <v>400</v>
      </c>
      <c r="B402" s="6" t="str">
        <f>"48712023013109030713021"</f>
        <v>48712023013109030713021</v>
      </c>
      <c r="C402" s="6" t="str">
        <f t="shared" si="92"/>
        <v>0201</v>
      </c>
      <c r="D402" s="6" t="s">
        <v>12</v>
      </c>
      <c r="E402" s="6" t="s">
        <v>13</v>
      </c>
      <c r="F402" s="6" t="str">
        <f>"陈达富"</f>
        <v>陈达富</v>
      </c>
      <c r="G402" s="6" t="str">
        <f t="shared" si="101"/>
        <v>男</v>
      </c>
      <c r="H402" s="6" t="str">
        <f>"1995-10-30"</f>
        <v>1995-10-30</v>
      </c>
      <c r="I402" s="6"/>
    </row>
    <row r="403" s="1" customFormat="1" ht="30" customHeight="1" spans="1:9">
      <c r="A403" s="6">
        <v>401</v>
      </c>
      <c r="B403" s="6" t="str">
        <f>"48712023013109102713023"</f>
        <v>48712023013109102713023</v>
      </c>
      <c r="C403" s="6" t="str">
        <f t="shared" si="92"/>
        <v>0201</v>
      </c>
      <c r="D403" s="6" t="s">
        <v>12</v>
      </c>
      <c r="E403" s="6" t="s">
        <v>13</v>
      </c>
      <c r="F403" s="6" t="str">
        <f>"黄菁"</f>
        <v>黄菁</v>
      </c>
      <c r="G403" s="6" t="str">
        <f t="shared" si="100"/>
        <v>女</v>
      </c>
      <c r="H403" s="6" t="str">
        <f>"1987-12-30"</f>
        <v>1987-12-30</v>
      </c>
      <c r="I403" s="6"/>
    </row>
    <row r="404" s="1" customFormat="1" ht="30" customHeight="1" spans="1:9">
      <c r="A404" s="6">
        <v>402</v>
      </c>
      <c r="B404" s="6" t="str">
        <f>"48712023013109120413025"</f>
        <v>48712023013109120413025</v>
      </c>
      <c r="C404" s="6" t="str">
        <f t="shared" si="92"/>
        <v>0201</v>
      </c>
      <c r="D404" s="6" t="s">
        <v>12</v>
      </c>
      <c r="E404" s="6" t="s">
        <v>13</v>
      </c>
      <c r="F404" s="6" t="str">
        <f>"王亚茹"</f>
        <v>王亚茹</v>
      </c>
      <c r="G404" s="6" t="str">
        <f t="shared" si="100"/>
        <v>女</v>
      </c>
      <c r="H404" s="6" t="str">
        <f>"1990-11-13"</f>
        <v>1990-11-13</v>
      </c>
      <c r="I404" s="6"/>
    </row>
    <row r="405" s="1" customFormat="1" ht="30" customHeight="1" spans="1:9">
      <c r="A405" s="6">
        <v>403</v>
      </c>
      <c r="B405" s="6" t="str">
        <f>"48712023013109190713028"</f>
        <v>48712023013109190713028</v>
      </c>
      <c r="C405" s="6" t="str">
        <f t="shared" si="92"/>
        <v>0201</v>
      </c>
      <c r="D405" s="6" t="s">
        <v>12</v>
      </c>
      <c r="E405" s="6" t="s">
        <v>13</v>
      </c>
      <c r="F405" s="6" t="str">
        <f>"赵韦全"</f>
        <v>赵韦全</v>
      </c>
      <c r="G405" s="6" t="str">
        <f t="shared" si="101"/>
        <v>男</v>
      </c>
      <c r="H405" s="6" t="str">
        <f>"1995-12-15"</f>
        <v>1995-12-15</v>
      </c>
      <c r="I405" s="6"/>
    </row>
    <row r="406" s="1" customFormat="1" ht="30" customHeight="1" spans="1:9">
      <c r="A406" s="6">
        <v>404</v>
      </c>
      <c r="B406" s="6" t="str">
        <f>"48712023013109361713047"</f>
        <v>48712023013109361713047</v>
      </c>
      <c r="C406" s="6" t="str">
        <f t="shared" si="92"/>
        <v>0201</v>
      </c>
      <c r="D406" s="6" t="s">
        <v>12</v>
      </c>
      <c r="E406" s="6" t="s">
        <v>13</v>
      </c>
      <c r="F406" s="6" t="str">
        <f>"吴止境"</f>
        <v>吴止境</v>
      </c>
      <c r="G406" s="6" t="str">
        <f t="shared" si="101"/>
        <v>男</v>
      </c>
      <c r="H406" s="6" t="str">
        <f>"1992-02-12"</f>
        <v>1992-02-12</v>
      </c>
      <c r="I406" s="6"/>
    </row>
    <row r="407" s="1" customFormat="1" ht="30" customHeight="1" spans="1:9">
      <c r="A407" s="6">
        <v>405</v>
      </c>
      <c r="B407" s="6" t="str">
        <f>"48712023013110083913078"</f>
        <v>48712023013110083913078</v>
      </c>
      <c r="C407" s="6" t="str">
        <f t="shared" si="92"/>
        <v>0201</v>
      </c>
      <c r="D407" s="6" t="s">
        <v>12</v>
      </c>
      <c r="E407" s="6" t="s">
        <v>13</v>
      </c>
      <c r="F407" s="6" t="str">
        <f>"卢昱帆"</f>
        <v>卢昱帆</v>
      </c>
      <c r="G407" s="6" t="str">
        <f t="shared" si="101"/>
        <v>男</v>
      </c>
      <c r="H407" s="6" t="str">
        <f>"1996-12-17"</f>
        <v>1996-12-17</v>
      </c>
      <c r="I407" s="6"/>
    </row>
    <row r="408" s="1" customFormat="1" ht="30" customHeight="1" spans="1:9">
      <c r="A408" s="6">
        <v>406</v>
      </c>
      <c r="B408" s="6" t="str">
        <f>"48712023013110233213100"</f>
        <v>48712023013110233213100</v>
      </c>
      <c r="C408" s="6" t="str">
        <f t="shared" si="92"/>
        <v>0201</v>
      </c>
      <c r="D408" s="6" t="s">
        <v>12</v>
      </c>
      <c r="E408" s="6" t="s">
        <v>13</v>
      </c>
      <c r="F408" s="6" t="str">
        <f>"陈佳佳"</f>
        <v>陈佳佳</v>
      </c>
      <c r="G408" s="6" t="str">
        <f t="shared" ref="G408:G411" si="102">"女"</f>
        <v>女</v>
      </c>
      <c r="H408" s="6" t="str">
        <f>"1990-02-18"</f>
        <v>1990-02-18</v>
      </c>
      <c r="I408" s="6"/>
    </row>
    <row r="409" s="1" customFormat="1" ht="30" customHeight="1" spans="1:9">
      <c r="A409" s="6">
        <v>407</v>
      </c>
      <c r="B409" s="6" t="str">
        <f>"48712023013110244113102"</f>
        <v>48712023013110244113102</v>
      </c>
      <c r="C409" s="6" t="str">
        <f t="shared" si="92"/>
        <v>0201</v>
      </c>
      <c r="D409" s="6" t="s">
        <v>12</v>
      </c>
      <c r="E409" s="6" t="s">
        <v>13</v>
      </c>
      <c r="F409" s="6" t="str">
        <f>"燕登"</f>
        <v>燕登</v>
      </c>
      <c r="G409" s="6" t="str">
        <f>"男"</f>
        <v>男</v>
      </c>
      <c r="H409" s="6" t="str">
        <f>"1997-07-08"</f>
        <v>1997-07-08</v>
      </c>
      <c r="I409" s="6"/>
    </row>
    <row r="410" s="1" customFormat="1" ht="30" customHeight="1" spans="1:9">
      <c r="A410" s="6">
        <v>408</v>
      </c>
      <c r="B410" s="6" t="str">
        <f>"48712023013110321713112"</f>
        <v>48712023013110321713112</v>
      </c>
      <c r="C410" s="6" t="str">
        <f t="shared" si="92"/>
        <v>0201</v>
      </c>
      <c r="D410" s="6" t="s">
        <v>12</v>
      </c>
      <c r="E410" s="6" t="s">
        <v>13</v>
      </c>
      <c r="F410" s="6" t="str">
        <f>"何宗莉"</f>
        <v>何宗莉</v>
      </c>
      <c r="G410" s="6" t="str">
        <f t="shared" si="102"/>
        <v>女</v>
      </c>
      <c r="H410" s="6" t="str">
        <f>"1990-05-08"</f>
        <v>1990-05-08</v>
      </c>
      <c r="I410" s="6"/>
    </row>
    <row r="411" s="1" customFormat="1" ht="30" customHeight="1" spans="1:9">
      <c r="A411" s="6">
        <v>409</v>
      </c>
      <c r="B411" s="6" t="str">
        <f>"48712023013110514513142"</f>
        <v>48712023013110514513142</v>
      </c>
      <c r="C411" s="6" t="str">
        <f t="shared" si="92"/>
        <v>0201</v>
      </c>
      <c r="D411" s="6" t="s">
        <v>12</v>
      </c>
      <c r="E411" s="6" t="s">
        <v>13</v>
      </c>
      <c r="F411" s="6" t="str">
        <f>"杨丹群"</f>
        <v>杨丹群</v>
      </c>
      <c r="G411" s="6" t="str">
        <f t="shared" si="102"/>
        <v>女</v>
      </c>
      <c r="H411" s="6" t="str">
        <f>"1995-11-18"</f>
        <v>1995-11-18</v>
      </c>
      <c r="I411" s="6"/>
    </row>
    <row r="412" s="1" customFormat="1" ht="30" customHeight="1" spans="1:9">
      <c r="A412" s="6">
        <v>410</v>
      </c>
      <c r="B412" s="6" t="str">
        <f>"48712023013111143513181"</f>
        <v>48712023013111143513181</v>
      </c>
      <c r="C412" s="6" t="str">
        <f t="shared" si="92"/>
        <v>0201</v>
      </c>
      <c r="D412" s="6" t="s">
        <v>12</v>
      </c>
      <c r="E412" s="6" t="s">
        <v>13</v>
      </c>
      <c r="F412" s="6" t="str">
        <f>"孙檀"</f>
        <v>孙檀</v>
      </c>
      <c r="G412" s="6" t="str">
        <f t="shared" ref="G412:G416" si="103">"男"</f>
        <v>男</v>
      </c>
      <c r="H412" s="6" t="str">
        <f>"1995-09-17"</f>
        <v>1995-09-17</v>
      </c>
      <c r="I412" s="6"/>
    </row>
    <row r="413" s="1" customFormat="1" ht="30" customHeight="1" spans="1:9">
      <c r="A413" s="6">
        <v>411</v>
      </c>
      <c r="B413" s="6" t="str">
        <f>"48712023013111405913213"</f>
        <v>48712023013111405913213</v>
      </c>
      <c r="C413" s="6" t="str">
        <f t="shared" si="92"/>
        <v>0201</v>
      </c>
      <c r="D413" s="6" t="s">
        <v>12</v>
      </c>
      <c r="E413" s="6" t="s">
        <v>13</v>
      </c>
      <c r="F413" s="6" t="str">
        <f>"吴新果"</f>
        <v>吴新果</v>
      </c>
      <c r="G413" s="6" t="str">
        <f t="shared" ref="G413:G420" si="104">"女"</f>
        <v>女</v>
      </c>
      <c r="H413" s="6" t="str">
        <f>"1996-11-26"</f>
        <v>1996-11-26</v>
      </c>
      <c r="I413" s="6"/>
    </row>
    <row r="414" s="1" customFormat="1" ht="30" customHeight="1" spans="1:9">
      <c r="A414" s="6">
        <v>412</v>
      </c>
      <c r="B414" s="6" t="str">
        <f>"48712023013111444913221"</f>
        <v>48712023013111444913221</v>
      </c>
      <c r="C414" s="6" t="str">
        <f t="shared" si="92"/>
        <v>0201</v>
      </c>
      <c r="D414" s="6" t="s">
        <v>12</v>
      </c>
      <c r="E414" s="6" t="s">
        <v>13</v>
      </c>
      <c r="F414" s="6" t="str">
        <f>"钟玉瑶"</f>
        <v>钟玉瑶</v>
      </c>
      <c r="G414" s="6" t="str">
        <f t="shared" si="104"/>
        <v>女</v>
      </c>
      <c r="H414" s="6" t="str">
        <f>"1999-09-20"</f>
        <v>1999-09-20</v>
      </c>
      <c r="I414" s="6"/>
    </row>
    <row r="415" s="1" customFormat="1" ht="30" customHeight="1" spans="1:9">
      <c r="A415" s="6">
        <v>413</v>
      </c>
      <c r="B415" s="6" t="str">
        <f>"48712023013112070113250"</f>
        <v>48712023013112070113250</v>
      </c>
      <c r="C415" s="6" t="str">
        <f t="shared" si="92"/>
        <v>0201</v>
      </c>
      <c r="D415" s="6" t="s">
        <v>12</v>
      </c>
      <c r="E415" s="6" t="s">
        <v>13</v>
      </c>
      <c r="F415" s="6" t="str">
        <f>"李周铭"</f>
        <v>李周铭</v>
      </c>
      <c r="G415" s="6" t="str">
        <f t="shared" si="103"/>
        <v>男</v>
      </c>
      <c r="H415" s="6" t="str">
        <f>"1992-05-27"</f>
        <v>1992-05-27</v>
      </c>
      <c r="I415" s="6"/>
    </row>
    <row r="416" s="1" customFormat="1" ht="30" customHeight="1" spans="1:9">
      <c r="A416" s="6">
        <v>414</v>
      </c>
      <c r="B416" s="6" t="str">
        <f>"48712023013112071213251"</f>
        <v>48712023013112071213251</v>
      </c>
      <c r="C416" s="6" t="str">
        <f t="shared" si="92"/>
        <v>0201</v>
      </c>
      <c r="D416" s="6" t="s">
        <v>12</v>
      </c>
      <c r="E416" s="6" t="s">
        <v>13</v>
      </c>
      <c r="F416" s="6" t="str">
        <f>"林峰"</f>
        <v>林峰</v>
      </c>
      <c r="G416" s="6" t="str">
        <f t="shared" si="103"/>
        <v>男</v>
      </c>
      <c r="H416" s="6" t="str">
        <f>"2000-01-04"</f>
        <v>2000-01-04</v>
      </c>
      <c r="I416" s="6"/>
    </row>
    <row r="417" s="1" customFormat="1" ht="30" customHeight="1" spans="1:9">
      <c r="A417" s="6">
        <v>415</v>
      </c>
      <c r="B417" s="6" t="str">
        <f>"48712023013112193713258"</f>
        <v>48712023013112193713258</v>
      </c>
      <c r="C417" s="6" t="str">
        <f t="shared" si="92"/>
        <v>0201</v>
      </c>
      <c r="D417" s="6" t="s">
        <v>12</v>
      </c>
      <c r="E417" s="6" t="s">
        <v>13</v>
      </c>
      <c r="F417" s="6" t="str">
        <f>"张峥"</f>
        <v>张峥</v>
      </c>
      <c r="G417" s="6" t="str">
        <f t="shared" si="104"/>
        <v>女</v>
      </c>
      <c r="H417" s="6" t="str">
        <f>"1990-08-25"</f>
        <v>1990-08-25</v>
      </c>
      <c r="I417" s="6"/>
    </row>
    <row r="418" s="1" customFormat="1" ht="30" customHeight="1" spans="1:9">
      <c r="A418" s="6">
        <v>416</v>
      </c>
      <c r="B418" s="6" t="str">
        <f>"48712023013113141613308"</f>
        <v>48712023013113141613308</v>
      </c>
      <c r="C418" s="6" t="str">
        <f t="shared" si="92"/>
        <v>0201</v>
      </c>
      <c r="D418" s="6" t="s">
        <v>12</v>
      </c>
      <c r="E418" s="6" t="s">
        <v>13</v>
      </c>
      <c r="F418" s="6" t="str">
        <f>"翁巍源"</f>
        <v>翁巍源</v>
      </c>
      <c r="G418" s="6" t="str">
        <f t="shared" si="104"/>
        <v>女</v>
      </c>
      <c r="H418" s="6" t="str">
        <f>"1988-09-24"</f>
        <v>1988-09-24</v>
      </c>
      <c r="I418" s="6"/>
    </row>
    <row r="419" s="1" customFormat="1" ht="30" customHeight="1" spans="1:9">
      <c r="A419" s="6">
        <v>417</v>
      </c>
      <c r="B419" s="6" t="str">
        <f>"48712023013113235013319"</f>
        <v>48712023013113235013319</v>
      </c>
      <c r="C419" s="6" t="str">
        <f t="shared" si="92"/>
        <v>0201</v>
      </c>
      <c r="D419" s="6" t="s">
        <v>12</v>
      </c>
      <c r="E419" s="6" t="s">
        <v>13</v>
      </c>
      <c r="F419" s="6" t="str">
        <f>"李玲娇"</f>
        <v>李玲娇</v>
      </c>
      <c r="G419" s="6" t="str">
        <f t="shared" si="104"/>
        <v>女</v>
      </c>
      <c r="H419" s="6" t="str">
        <f>"1996-09-20"</f>
        <v>1996-09-20</v>
      </c>
      <c r="I419" s="6"/>
    </row>
    <row r="420" s="1" customFormat="1" ht="30" customHeight="1" spans="1:9">
      <c r="A420" s="6">
        <v>418</v>
      </c>
      <c r="B420" s="6" t="str">
        <f>"48712023013113491013335"</f>
        <v>48712023013113491013335</v>
      </c>
      <c r="C420" s="6" t="str">
        <f t="shared" si="92"/>
        <v>0201</v>
      </c>
      <c r="D420" s="6" t="s">
        <v>12</v>
      </c>
      <c r="E420" s="6" t="s">
        <v>13</v>
      </c>
      <c r="F420" s="6" t="str">
        <f>"林桂丹"</f>
        <v>林桂丹</v>
      </c>
      <c r="G420" s="6" t="str">
        <f t="shared" si="104"/>
        <v>女</v>
      </c>
      <c r="H420" s="6" t="str">
        <f>"1997-02-19"</f>
        <v>1997-02-19</v>
      </c>
      <c r="I420" s="6"/>
    </row>
    <row r="421" s="1" customFormat="1" ht="30" customHeight="1" spans="1:9">
      <c r="A421" s="6">
        <v>419</v>
      </c>
      <c r="B421" s="6" t="str">
        <f>"48712023013114031913348"</f>
        <v>48712023013114031913348</v>
      </c>
      <c r="C421" s="6" t="str">
        <f t="shared" si="92"/>
        <v>0201</v>
      </c>
      <c r="D421" s="6" t="s">
        <v>12</v>
      </c>
      <c r="E421" s="6" t="s">
        <v>13</v>
      </c>
      <c r="F421" s="6" t="str">
        <f>"王科"</f>
        <v>王科</v>
      </c>
      <c r="G421" s="6" t="str">
        <f t="shared" ref="G421:G424" si="105">"男"</f>
        <v>男</v>
      </c>
      <c r="H421" s="6" t="str">
        <f>"1997-12-06"</f>
        <v>1997-12-06</v>
      </c>
      <c r="I421" s="6"/>
    </row>
    <row r="422" s="1" customFormat="1" ht="30" customHeight="1" spans="1:9">
      <c r="A422" s="6">
        <v>420</v>
      </c>
      <c r="B422" s="6" t="str">
        <f>"48712023013114063813352"</f>
        <v>48712023013114063813352</v>
      </c>
      <c r="C422" s="6" t="str">
        <f t="shared" si="92"/>
        <v>0201</v>
      </c>
      <c r="D422" s="6" t="s">
        <v>12</v>
      </c>
      <c r="E422" s="6" t="s">
        <v>13</v>
      </c>
      <c r="F422" s="6" t="str">
        <f>"陈坤"</f>
        <v>陈坤</v>
      </c>
      <c r="G422" s="6" t="str">
        <f t="shared" si="105"/>
        <v>男</v>
      </c>
      <c r="H422" s="6" t="str">
        <f>"1995-11-21"</f>
        <v>1995-11-21</v>
      </c>
      <c r="I422" s="6"/>
    </row>
    <row r="423" s="1" customFormat="1" ht="30" customHeight="1" spans="1:9">
      <c r="A423" s="6">
        <v>421</v>
      </c>
      <c r="B423" s="6" t="str">
        <f>"48712023013114245413375"</f>
        <v>48712023013114245413375</v>
      </c>
      <c r="C423" s="6" t="str">
        <f t="shared" si="92"/>
        <v>0201</v>
      </c>
      <c r="D423" s="6" t="s">
        <v>12</v>
      </c>
      <c r="E423" s="6" t="s">
        <v>13</v>
      </c>
      <c r="F423" s="6" t="str">
        <f>"林永裕"</f>
        <v>林永裕</v>
      </c>
      <c r="G423" s="6" t="str">
        <f t="shared" si="105"/>
        <v>男</v>
      </c>
      <c r="H423" s="6" t="str">
        <f>"1997-08-24"</f>
        <v>1997-08-24</v>
      </c>
      <c r="I423" s="6"/>
    </row>
    <row r="424" s="1" customFormat="1" ht="30" customHeight="1" spans="1:9">
      <c r="A424" s="6">
        <v>422</v>
      </c>
      <c r="B424" s="6" t="str">
        <f>"48712023013114491313400"</f>
        <v>48712023013114491313400</v>
      </c>
      <c r="C424" s="6" t="str">
        <f t="shared" si="92"/>
        <v>0201</v>
      </c>
      <c r="D424" s="6" t="s">
        <v>12</v>
      </c>
      <c r="E424" s="6" t="s">
        <v>13</v>
      </c>
      <c r="F424" s="6" t="str">
        <f>"李博琳"</f>
        <v>李博琳</v>
      </c>
      <c r="G424" s="6" t="str">
        <f t="shared" si="105"/>
        <v>男</v>
      </c>
      <c r="H424" s="6" t="str">
        <f>"1998-11-18"</f>
        <v>1998-11-18</v>
      </c>
      <c r="I424" s="6"/>
    </row>
    <row r="425" s="1" customFormat="1" ht="30" customHeight="1" spans="1:9">
      <c r="A425" s="6">
        <v>423</v>
      </c>
      <c r="B425" s="6" t="str">
        <f>"48712023013114554913407"</f>
        <v>48712023013114554913407</v>
      </c>
      <c r="C425" s="6" t="str">
        <f t="shared" si="92"/>
        <v>0201</v>
      </c>
      <c r="D425" s="6" t="s">
        <v>12</v>
      </c>
      <c r="E425" s="6" t="s">
        <v>13</v>
      </c>
      <c r="F425" s="6" t="str">
        <f>"林慧霄"</f>
        <v>林慧霄</v>
      </c>
      <c r="G425" s="6" t="str">
        <f>"女"</f>
        <v>女</v>
      </c>
      <c r="H425" s="6" t="str">
        <f>"1996-12-07"</f>
        <v>1996-12-07</v>
      </c>
      <c r="I425" s="6"/>
    </row>
    <row r="426" s="1" customFormat="1" ht="30" customHeight="1" spans="1:9">
      <c r="A426" s="6">
        <v>424</v>
      </c>
      <c r="B426" s="6" t="str">
        <f>"48712023013115223413447"</f>
        <v>48712023013115223413447</v>
      </c>
      <c r="C426" s="6" t="str">
        <f t="shared" si="92"/>
        <v>0201</v>
      </c>
      <c r="D426" s="6" t="s">
        <v>12</v>
      </c>
      <c r="E426" s="6" t="s">
        <v>13</v>
      </c>
      <c r="F426" s="6" t="str">
        <f>"王会朝"</f>
        <v>王会朝</v>
      </c>
      <c r="G426" s="6" t="str">
        <f>"男"</f>
        <v>男</v>
      </c>
      <c r="H426" s="6" t="str">
        <f>"1997-02-09"</f>
        <v>1997-02-09</v>
      </c>
      <c r="I426" s="6"/>
    </row>
    <row r="427" s="1" customFormat="1" ht="30" customHeight="1" spans="1:9">
      <c r="A427" s="6">
        <v>425</v>
      </c>
      <c r="B427" s="6" t="str">
        <f>"48712023013115463813486"</f>
        <v>48712023013115463813486</v>
      </c>
      <c r="C427" s="6" t="str">
        <f t="shared" si="92"/>
        <v>0201</v>
      </c>
      <c r="D427" s="6" t="s">
        <v>12</v>
      </c>
      <c r="E427" s="6" t="s">
        <v>13</v>
      </c>
      <c r="F427" s="6" t="str">
        <f>"曾倞婧"</f>
        <v>曾倞婧</v>
      </c>
      <c r="G427" s="6" t="str">
        <f t="shared" ref="G427:G434" si="106">"女"</f>
        <v>女</v>
      </c>
      <c r="H427" s="6" t="str">
        <f>"1987-07-19"</f>
        <v>1987-07-19</v>
      </c>
      <c r="I427" s="6"/>
    </row>
    <row r="428" s="1" customFormat="1" ht="30" customHeight="1" spans="1:9">
      <c r="A428" s="6">
        <v>426</v>
      </c>
      <c r="B428" s="6" t="str">
        <f>"48712023013116233413525"</f>
        <v>48712023013116233413525</v>
      </c>
      <c r="C428" s="6" t="str">
        <f t="shared" si="92"/>
        <v>0201</v>
      </c>
      <c r="D428" s="6" t="s">
        <v>12</v>
      </c>
      <c r="E428" s="6" t="s">
        <v>13</v>
      </c>
      <c r="F428" s="6" t="str">
        <f>"陈欣欣"</f>
        <v>陈欣欣</v>
      </c>
      <c r="G428" s="6" t="str">
        <f t="shared" si="106"/>
        <v>女</v>
      </c>
      <c r="H428" s="6" t="str">
        <f>"1995-02-15"</f>
        <v>1995-02-15</v>
      </c>
      <c r="I428" s="6"/>
    </row>
    <row r="429" s="1" customFormat="1" ht="30" customHeight="1" spans="1:9">
      <c r="A429" s="6">
        <v>427</v>
      </c>
      <c r="B429" s="6" t="str">
        <f>"48712023013116243713528"</f>
        <v>48712023013116243713528</v>
      </c>
      <c r="C429" s="6" t="str">
        <f t="shared" ref="C429:C492" si="107">"0201"</f>
        <v>0201</v>
      </c>
      <c r="D429" s="6" t="s">
        <v>12</v>
      </c>
      <c r="E429" s="6" t="s">
        <v>13</v>
      </c>
      <c r="F429" s="6" t="str">
        <f>"史一清"</f>
        <v>史一清</v>
      </c>
      <c r="G429" s="6" t="str">
        <f t="shared" si="106"/>
        <v>女</v>
      </c>
      <c r="H429" s="6" t="str">
        <f>"1993-10-01"</f>
        <v>1993-10-01</v>
      </c>
      <c r="I429" s="6"/>
    </row>
    <row r="430" s="1" customFormat="1" ht="30" customHeight="1" spans="1:9">
      <c r="A430" s="6">
        <v>428</v>
      </c>
      <c r="B430" s="6" t="str">
        <f>"48712023013116290213533"</f>
        <v>48712023013116290213533</v>
      </c>
      <c r="C430" s="6" t="str">
        <f t="shared" si="107"/>
        <v>0201</v>
      </c>
      <c r="D430" s="6" t="s">
        <v>12</v>
      </c>
      <c r="E430" s="6" t="s">
        <v>13</v>
      </c>
      <c r="F430" s="6" t="str">
        <f>"尹思思"</f>
        <v>尹思思</v>
      </c>
      <c r="G430" s="6" t="str">
        <f t="shared" si="106"/>
        <v>女</v>
      </c>
      <c r="H430" s="6" t="str">
        <f>"1994-06-12"</f>
        <v>1994-06-12</v>
      </c>
      <c r="I430" s="6"/>
    </row>
    <row r="431" s="1" customFormat="1" ht="30" customHeight="1" spans="1:9">
      <c r="A431" s="6">
        <v>429</v>
      </c>
      <c r="B431" s="6" t="str">
        <f>"48712023013117084013575"</f>
        <v>48712023013117084013575</v>
      </c>
      <c r="C431" s="6" t="str">
        <f t="shared" si="107"/>
        <v>0201</v>
      </c>
      <c r="D431" s="6" t="s">
        <v>12</v>
      </c>
      <c r="E431" s="6" t="s">
        <v>13</v>
      </c>
      <c r="F431" s="6" t="str">
        <f>"苏睿"</f>
        <v>苏睿</v>
      </c>
      <c r="G431" s="6" t="str">
        <f t="shared" si="106"/>
        <v>女</v>
      </c>
      <c r="H431" s="6" t="str">
        <f>"1999-06-20"</f>
        <v>1999-06-20</v>
      </c>
      <c r="I431" s="6"/>
    </row>
    <row r="432" s="1" customFormat="1" ht="30" customHeight="1" spans="1:9">
      <c r="A432" s="6">
        <v>430</v>
      </c>
      <c r="B432" s="6" t="str">
        <f>"48712023013118441613636"</f>
        <v>48712023013118441613636</v>
      </c>
      <c r="C432" s="6" t="str">
        <f t="shared" si="107"/>
        <v>0201</v>
      </c>
      <c r="D432" s="6" t="s">
        <v>12</v>
      </c>
      <c r="E432" s="6" t="s">
        <v>13</v>
      </c>
      <c r="F432" s="6" t="str">
        <f>"郭金美"</f>
        <v>郭金美</v>
      </c>
      <c r="G432" s="6" t="str">
        <f t="shared" si="106"/>
        <v>女</v>
      </c>
      <c r="H432" s="6" t="str">
        <f>"1998-12-06"</f>
        <v>1998-12-06</v>
      </c>
      <c r="I432" s="6"/>
    </row>
    <row r="433" s="1" customFormat="1" ht="30" customHeight="1" spans="1:9">
      <c r="A433" s="6">
        <v>431</v>
      </c>
      <c r="B433" s="6" t="str">
        <f>"48712023013119512613669"</f>
        <v>48712023013119512613669</v>
      </c>
      <c r="C433" s="6" t="str">
        <f t="shared" si="107"/>
        <v>0201</v>
      </c>
      <c r="D433" s="6" t="s">
        <v>12</v>
      </c>
      <c r="E433" s="6" t="s">
        <v>13</v>
      </c>
      <c r="F433" s="6" t="str">
        <f>"谭子冰"</f>
        <v>谭子冰</v>
      </c>
      <c r="G433" s="6" t="str">
        <f t="shared" si="106"/>
        <v>女</v>
      </c>
      <c r="H433" s="6" t="str">
        <f>"1995-06-23"</f>
        <v>1995-06-23</v>
      </c>
      <c r="I433" s="6"/>
    </row>
    <row r="434" s="1" customFormat="1" ht="30" customHeight="1" spans="1:9">
      <c r="A434" s="6">
        <v>432</v>
      </c>
      <c r="B434" s="6" t="str">
        <f>"48712023013120234013684"</f>
        <v>48712023013120234013684</v>
      </c>
      <c r="C434" s="6" t="str">
        <f t="shared" si="107"/>
        <v>0201</v>
      </c>
      <c r="D434" s="6" t="s">
        <v>12</v>
      </c>
      <c r="E434" s="6" t="s">
        <v>13</v>
      </c>
      <c r="F434" s="6" t="str">
        <f>"翁佳欣"</f>
        <v>翁佳欣</v>
      </c>
      <c r="G434" s="6" t="str">
        <f t="shared" si="106"/>
        <v>女</v>
      </c>
      <c r="H434" s="6" t="str">
        <f>"1997-11-06"</f>
        <v>1997-11-06</v>
      </c>
      <c r="I434" s="6"/>
    </row>
    <row r="435" s="1" customFormat="1" ht="30" customHeight="1" spans="1:9">
      <c r="A435" s="6">
        <v>433</v>
      </c>
      <c r="B435" s="6" t="str">
        <f>"48712023013120291213689"</f>
        <v>48712023013120291213689</v>
      </c>
      <c r="C435" s="6" t="str">
        <f t="shared" si="107"/>
        <v>0201</v>
      </c>
      <c r="D435" s="6" t="s">
        <v>12</v>
      </c>
      <c r="E435" s="6" t="s">
        <v>13</v>
      </c>
      <c r="F435" s="6" t="str">
        <f>"杨华志"</f>
        <v>杨华志</v>
      </c>
      <c r="G435" s="6" t="str">
        <f>"男"</f>
        <v>男</v>
      </c>
      <c r="H435" s="6" t="str">
        <f>"2000-12-10"</f>
        <v>2000-12-10</v>
      </c>
      <c r="I435" s="6"/>
    </row>
    <row r="436" s="1" customFormat="1" ht="30" customHeight="1" spans="1:9">
      <c r="A436" s="6">
        <v>434</v>
      </c>
      <c r="B436" s="6" t="str">
        <f>"48712023013121041713711"</f>
        <v>48712023013121041713711</v>
      </c>
      <c r="C436" s="6" t="str">
        <f t="shared" si="107"/>
        <v>0201</v>
      </c>
      <c r="D436" s="6" t="s">
        <v>12</v>
      </c>
      <c r="E436" s="6" t="s">
        <v>13</v>
      </c>
      <c r="F436" s="6" t="str">
        <f>"万珈利"</f>
        <v>万珈利</v>
      </c>
      <c r="G436" s="6" t="str">
        <f t="shared" ref="G436:G440" si="108">"女"</f>
        <v>女</v>
      </c>
      <c r="H436" s="6" t="str">
        <f>"1998-03-08"</f>
        <v>1998-03-08</v>
      </c>
      <c r="I436" s="6"/>
    </row>
    <row r="437" s="1" customFormat="1" ht="30" customHeight="1" spans="1:9">
      <c r="A437" s="6">
        <v>435</v>
      </c>
      <c r="B437" s="6" t="str">
        <f>"48712023013121082113713"</f>
        <v>48712023013121082113713</v>
      </c>
      <c r="C437" s="6" t="str">
        <f t="shared" si="107"/>
        <v>0201</v>
      </c>
      <c r="D437" s="6" t="s">
        <v>12</v>
      </c>
      <c r="E437" s="6" t="s">
        <v>13</v>
      </c>
      <c r="F437" s="6" t="str">
        <f>"王悠然"</f>
        <v>王悠然</v>
      </c>
      <c r="G437" s="6" t="str">
        <f t="shared" si="108"/>
        <v>女</v>
      </c>
      <c r="H437" s="6" t="str">
        <f>"1999-11-25"</f>
        <v>1999-11-25</v>
      </c>
      <c r="I437" s="6"/>
    </row>
    <row r="438" s="1" customFormat="1" ht="30" customHeight="1" spans="1:9">
      <c r="A438" s="6">
        <v>436</v>
      </c>
      <c r="B438" s="6" t="str">
        <f>"48712023013121172813717"</f>
        <v>48712023013121172813717</v>
      </c>
      <c r="C438" s="6" t="str">
        <f t="shared" si="107"/>
        <v>0201</v>
      </c>
      <c r="D438" s="6" t="s">
        <v>12</v>
      </c>
      <c r="E438" s="6" t="s">
        <v>13</v>
      </c>
      <c r="F438" s="6" t="str">
        <f>"周易相"</f>
        <v>周易相</v>
      </c>
      <c r="G438" s="6" t="str">
        <f>"男"</f>
        <v>男</v>
      </c>
      <c r="H438" s="6" t="str">
        <f>"1998-09-26"</f>
        <v>1998-09-26</v>
      </c>
      <c r="I438" s="6"/>
    </row>
    <row r="439" s="1" customFormat="1" ht="30" customHeight="1" spans="1:9">
      <c r="A439" s="6">
        <v>437</v>
      </c>
      <c r="B439" s="6" t="str">
        <f>"48712023013121572713734"</f>
        <v>48712023013121572713734</v>
      </c>
      <c r="C439" s="6" t="str">
        <f t="shared" si="107"/>
        <v>0201</v>
      </c>
      <c r="D439" s="6" t="s">
        <v>12</v>
      </c>
      <c r="E439" s="6" t="s">
        <v>13</v>
      </c>
      <c r="F439" s="6" t="str">
        <f>"蒙素仙"</f>
        <v>蒙素仙</v>
      </c>
      <c r="G439" s="6" t="str">
        <f t="shared" si="108"/>
        <v>女</v>
      </c>
      <c r="H439" s="6" t="str">
        <f>"1991-01-16"</f>
        <v>1991-01-16</v>
      </c>
      <c r="I439" s="6"/>
    </row>
    <row r="440" s="1" customFormat="1" ht="30" customHeight="1" spans="1:9">
      <c r="A440" s="6">
        <v>438</v>
      </c>
      <c r="B440" s="6" t="str">
        <f>"48712023013122325013750"</f>
        <v>48712023013122325013750</v>
      </c>
      <c r="C440" s="6" t="str">
        <f t="shared" si="107"/>
        <v>0201</v>
      </c>
      <c r="D440" s="6" t="s">
        <v>12</v>
      </c>
      <c r="E440" s="6" t="s">
        <v>13</v>
      </c>
      <c r="F440" s="6" t="str">
        <f>"韩华晨"</f>
        <v>韩华晨</v>
      </c>
      <c r="G440" s="6" t="str">
        <f t="shared" si="108"/>
        <v>女</v>
      </c>
      <c r="H440" s="6" t="str">
        <f>"2000-04-25"</f>
        <v>2000-04-25</v>
      </c>
      <c r="I440" s="6"/>
    </row>
    <row r="441" s="1" customFormat="1" ht="30" customHeight="1" spans="1:9">
      <c r="A441" s="6">
        <v>439</v>
      </c>
      <c r="B441" s="6" t="str">
        <f>"48712023013122412513754"</f>
        <v>48712023013122412513754</v>
      </c>
      <c r="C441" s="6" t="str">
        <f t="shared" si="107"/>
        <v>0201</v>
      </c>
      <c r="D441" s="6" t="s">
        <v>12</v>
      </c>
      <c r="E441" s="6" t="s">
        <v>13</v>
      </c>
      <c r="F441" s="6" t="str">
        <f>"余宗澳"</f>
        <v>余宗澳</v>
      </c>
      <c r="G441" s="6" t="str">
        <f>"男"</f>
        <v>男</v>
      </c>
      <c r="H441" s="6" t="str">
        <f>"1994-10-01"</f>
        <v>1994-10-01</v>
      </c>
      <c r="I441" s="6"/>
    </row>
    <row r="442" s="1" customFormat="1" ht="30" customHeight="1" spans="1:9">
      <c r="A442" s="6">
        <v>440</v>
      </c>
      <c r="B442" s="6" t="str">
        <f>"48712023020109184213938"</f>
        <v>48712023020109184213938</v>
      </c>
      <c r="C442" s="6" t="str">
        <f t="shared" si="107"/>
        <v>0201</v>
      </c>
      <c r="D442" s="6" t="s">
        <v>12</v>
      </c>
      <c r="E442" s="6" t="s">
        <v>13</v>
      </c>
      <c r="F442" s="6" t="str">
        <f>"王妙婉"</f>
        <v>王妙婉</v>
      </c>
      <c r="G442" s="6" t="str">
        <f t="shared" ref="G442:G445" si="109">"女"</f>
        <v>女</v>
      </c>
      <c r="H442" s="6" t="str">
        <f>"1998-04-09"</f>
        <v>1998-04-09</v>
      </c>
      <c r="I442" s="6"/>
    </row>
    <row r="443" s="1" customFormat="1" ht="30" customHeight="1" spans="1:9">
      <c r="A443" s="6">
        <v>441</v>
      </c>
      <c r="B443" s="6" t="str">
        <f>"48712023020109243713975"</f>
        <v>48712023020109243713975</v>
      </c>
      <c r="C443" s="6" t="str">
        <f t="shared" si="107"/>
        <v>0201</v>
      </c>
      <c r="D443" s="6" t="s">
        <v>12</v>
      </c>
      <c r="E443" s="6" t="s">
        <v>13</v>
      </c>
      <c r="F443" s="6" t="str">
        <f>"王少翔"</f>
        <v>王少翔</v>
      </c>
      <c r="G443" s="6" t="str">
        <f t="shared" si="109"/>
        <v>女</v>
      </c>
      <c r="H443" s="6" t="str">
        <f>"1999-07-06"</f>
        <v>1999-07-06</v>
      </c>
      <c r="I443" s="6"/>
    </row>
    <row r="444" s="1" customFormat="1" ht="30" customHeight="1" spans="1:9">
      <c r="A444" s="6">
        <v>442</v>
      </c>
      <c r="B444" s="6" t="str">
        <f>"48712023020109410414094"</f>
        <v>48712023020109410414094</v>
      </c>
      <c r="C444" s="6" t="str">
        <f t="shared" si="107"/>
        <v>0201</v>
      </c>
      <c r="D444" s="6" t="s">
        <v>12</v>
      </c>
      <c r="E444" s="6" t="s">
        <v>13</v>
      </c>
      <c r="F444" s="6" t="str">
        <f>"刘睿晗"</f>
        <v>刘睿晗</v>
      </c>
      <c r="G444" s="6" t="str">
        <f t="shared" si="109"/>
        <v>女</v>
      </c>
      <c r="H444" s="6" t="str">
        <f>"1990-03-28"</f>
        <v>1990-03-28</v>
      </c>
      <c r="I444" s="6"/>
    </row>
    <row r="445" s="1" customFormat="1" ht="30" customHeight="1" spans="1:9">
      <c r="A445" s="6">
        <v>443</v>
      </c>
      <c r="B445" s="6" t="str">
        <f>"48712023020109554214202"</f>
        <v>48712023020109554214202</v>
      </c>
      <c r="C445" s="6" t="str">
        <f t="shared" si="107"/>
        <v>0201</v>
      </c>
      <c r="D445" s="6" t="s">
        <v>12</v>
      </c>
      <c r="E445" s="6" t="s">
        <v>13</v>
      </c>
      <c r="F445" s="6" t="str">
        <f>"吴贤励"</f>
        <v>吴贤励</v>
      </c>
      <c r="G445" s="6" t="str">
        <f t="shared" si="109"/>
        <v>女</v>
      </c>
      <c r="H445" s="6" t="str">
        <f>"1998-05-30"</f>
        <v>1998-05-30</v>
      </c>
      <c r="I445" s="6"/>
    </row>
    <row r="446" s="1" customFormat="1" ht="30" customHeight="1" spans="1:9">
      <c r="A446" s="6">
        <v>444</v>
      </c>
      <c r="B446" s="6" t="str">
        <f>"48712023020110161514356"</f>
        <v>48712023020110161514356</v>
      </c>
      <c r="C446" s="6" t="str">
        <f t="shared" si="107"/>
        <v>0201</v>
      </c>
      <c r="D446" s="6" t="s">
        <v>12</v>
      </c>
      <c r="E446" s="6" t="s">
        <v>13</v>
      </c>
      <c r="F446" s="6" t="str">
        <f>"陈世麟"</f>
        <v>陈世麟</v>
      </c>
      <c r="G446" s="6" t="str">
        <f t="shared" ref="G446:G449" si="110">"男"</f>
        <v>男</v>
      </c>
      <c r="H446" s="6" t="str">
        <f>"1994-04-27"</f>
        <v>1994-04-27</v>
      </c>
      <c r="I446" s="6"/>
    </row>
    <row r="447" s="1" customFormat="1" ht="30" customHeight="1" spans="1:9">
      <c r="A447" s="6">
        <v>445</v>
      </c>
      <c r="B447" s="6" t="str">
        <f>"48712023020110292214469"</f>
        <v>48712023020110292214469</v>
      </c>
      <c r="C447" s="6" t="str">
        <f t="shared" si="107"/>
        <v>0201</v>
      </c>
      <c r="D447" s="6" t="s">
        <v>12</v>
      </c>
      <c r="E447" s="6" t="s">
        <v>13</v>
      </c>
      <c r="F447" s="6" t="str">
        <f>"陈金惠"</f>
        <v>陈金惠</v>
      </c>
      <c r="G447" s="6" t="str">
        <f>"女"</f>
        <v>女</v>
      </c>
      <c r="H447" s="6" t="str">
        <f>"1996-07-14"</f>
        <v>1996-07-14</v>
      </c>
      <c r="I447" s="6"/>
    </row>
    <row r="448" s="1" customFormat="1" ht="30" customHeight="1" spans="1:9">
      <c r="A448" s="6">
        <v>446</v>
      </c>
      <c r="B448" s="6" t="str">
        <f>"48712023020110514714632"</f>
        <v>48712023020110514714632</v>
      </c>
      <c r="C448" s="6" t="str">
        <f t="shared" si="107"/>
        <v>0201</v>
      </c>
      <c r="D448" s="6" t="s">
        <v>12</v>
      </c>
      <c r="E448" s="6" t="s">
        <v>13</v>
      </c>
      <c r="F448" s="6" t="str">
        <f>"李骁雄"</f>
        <v>李骁雄</v>
      </c>
      <c r="G448" s="6" t="str">
        <f t="shared" si="110"/>
        <v>男</v>
      </c>
      <c r="H448" s="6" t="str">
        <f>"1998-04-25"</f>
        <v>1998-04-25</v>
      </c>
      <c r="I448" s="6"/>
    </row>
    <row r="449" s="1" customFormat="1" ht="30" customHeight="1" spans="1:9">
      <c r="A449" s="6">
        <v>447</v>
      </c>
      <c r="B449" s="6" t="str">
        <f>"48712023020110552614652"</f>
        <v>48712023020110552614652</v>
      </c>
      <c r="C449" s="6" t="str">
        <f t="shared" si="107"/>
        <v>0201</v>
      </c>
      <c r="D449" s="6" t="s">
        <v>12</v>
      </c>
      <c r="E449" s="6" t="s">
        <v>13</v>
      </c>
      <c r="F449" s="6" t="str">
        <f>"徐海涛"</f>
        <v>徐海涛</v>
      </c>
      <c r="G449" s="6" t="str">
        <f t="shared" si="110"/>
        <v>男</v>
      </c>
      <c r="H449" s="6" t="str">
        <f>"1997-05-29"</f>
        <v>1997-05-29</v>
      </c>
      <c r="I449" s="6"/>
    </row>
    <row r="450" s="1" customFormat="1" ht="30" customHeight="1" spans="1:9">
      <c r="A450" s="6">
        <v>448</v>
      </c>
      <c r="B450" s="6" t="str">
        <f>"48712023020111044714712"</f>
        <v>48712023020111044714712</v>
      </c>
      <c r="C450" s="6" t="str">
        <f t="shared" si="107"/>
        <v>0201</v>
      </c>
      <c r="D450" s="6" t="s">
        <v>12</v>
      </c>
      <c r="E450" s="6" t="s">
        <v>13</v>
      </c>
      <c r="F450" s="6" t="str">
        <f>"焦睿娜"</f>
        <v>焦睿娜</v>
      </c>
      <c r="G450" s="6" t="str">
        <f t="shared" ref="G450:G457" si="111">"女"</f>
        <v>女</v>
      </c>
      <c r="H450" s="6" t="str">
        <f>"1990-03-20"</f>
        <v>1990-03-20</v>
      </c>
      <c r="I450" s="6"/>
    </row>
    <row r="451" s="1" customFormat="1" ht="30" customHeight="1" spans="1:9">
      <c r="A451" s="6">
        <v>449</v>
      </c>
      <c r="B451" s="6" t="str">
        <f>"48712023020111224414841"</f>
        <v>48712023020111224414841</v>
      </c>
      <c r="C451" s="6" t="str">
        <f t="shared" si="107"/>
        <v>0201</v>
      </c>
      <c r="D451" s="6" t="s">
        <v>12</v>
      </c>
      <c r="E451" s="6" t="s">
        <v>13</v>
      </c>
      <c r="F451" s="6" t="str">
        <f>"黄宜桦"</f>
        <v>黄宜桦</v>
      </c>
      <c r="G451" s="6" t="str">
        <f t="shared" si="111"/>
        <v>女</v>
      </c>
      <c r="H451" s="6" t="str">
        <f>"1994-02-11"</f>
        <v>1994-02-11</v>
      </c>
      <c r="I451" s="6"/>
    </row>
    <row r="452" s="1" customFormat="1" ht="30" customHeight="1" spans="1:9">
      <c r="A452" s="6">
        <v>450</v>
      </c>
      <c r="B452" s="6" t="str">
        <f>"48712023020113215615374"</f>
        <v>48712023020113215615374</v>
      </c>
      <c r="C452" s="6" t="str">
        <f t="shared" si="107"/>
        <v>0201</v>
      </c>
      <c r="D452" s="6" t="s">
        <v>12</v>
      </c>
      <c r="E452" s="6" t="s">
        <v>13</v>
      </c>
      <c r="F452" s="6" t="str">
        <f>"郑秋婷"</f>
        <v>郑秋婷</v>
      </c>
      <c r="G452" s="6" t="str">
        <f t="shared" si="111"/>
        <v>女</v>
      </c>
      <c r="H452" s="6" t="str">
        <f>"1993-04-03"</f>
        <v>1993-04-03</v>
      </c>
      <c r="I452" s="6"/>
    </row>
    <row r="453" s="1" customFormat="1" ht="30" customHeight="1" spans="1:9">
      <c r="A453" s="6">
        <v>451</v>
      </c>
      <c r="B453" s="6" t="str">
        <f>"48712023020113241915383"</f>
        <v>48712023020113241915383</v>
      </c>
      <c r="C453" s="6" t="str">
        <f t="shared" si="107"/>
        <v>0201</v>
      </c>
      <c r="D453" s="6" t="s">
        <v>12</v>
      </c>
      <c r="E453" s="6" t="s">
        <v>13</v>
      </c>
      <c r="F453" s="6" t="str">
        <f>"符永妮"</f>
        <v>符永妮</v>
      </c>
      <c r="G453" s="6" t="str">
        <f t="shared" si="111"/>
        <v>女</v>
      </c>
      <c r="H453" s="6" t="str">
        <f>"1996-08-16"</f>
        <v>1996-08-16</v>
      </c>
      <c r="I453" s="6"/>
    </row>
    <row r="454" s="1" customFormat="1" ht="30" customHeight="1" spans="1:9">
      <c r="A454" s="6">
        <v>452</v>
      </c>
      <c r="B454" s="6" t="str">
        <f>"48712023020114015615531"</f>
        <v>48712023020114015615531</v>
      </c>
      <c r="C454" s="6" t="str">
        <f t="shared" si="107"/>
        <v>0201</v>
      </c>
      <c r="D454" s="6" t="s">
        <v>12</v>
      </c>
      <c r="E454" s="6" t="s">
        <v>13</v>
      </c>
      <c r="F454" s="6" t="str">
        <f>"岳子力"</f>
        <v>岳子力</v>
      </c>
      <c r="G454" s="6" t="str">
        <f t="shared" si="111"/>
        <v>女</v>
      </c>
      <c r="H454" s="6" t="str">
        <f>"1996-08-08"</f>
        <v>1996-08-08</v>
      </c>
      <c r="I454" s="6"/>
    </row>
    <row r="455" s="1" customFormat="1" ht="30" customHeight="1" spans="1:9">
      <c r="A455" s="6">
        <v>453</v>
      </c>
      <c r="B455" s="6" t="str">
        <f>"48712023020114305215644"</f>
        <v>48712023020114305215644</v>
      </c>
      <c r="C455" s="6" t="str">
        <f t="shared" si="107"/>
        <v>0201</v>
      </c>
      <c r="D455" s="6" t="s">
        <v>12</v>
      </c>
      <c r="E455" s="6" t="s">
        <v>13</v>
      </c>
      <c r="F455" s="6" t="str">
        <f>"颜婧娴"</f>
        <v>颜婧娴</v>
      </c>
      <c r="G455" s="6" t="str">
        <f t="shared" si="111"/>
        <v>女</v>
      </c>
      <c r="H455" s="6" t="str">
        <f>"1998-11-18"</f>
        <v>1998-11-18</v>
      </c>
      <c r="I455" s="6"/>
    </row>
    <row r="456" s="1" customFormat="1" ht="30" customHeight="1" spans="1:9">
      <c r="A456" s="6">
        <v>454</v>
      </c>
      <c r="B456" s="6" t="str">
        <f>"48712023020114312115648"</f>
        <v>48712023020114312115648</v>
      </c>
      <c r="C456" s="6" t="str">
        <f t="shared" si="107"/>
        <v>0201</v>
      </c>
      <c r="D456" s="6" t="s">
        <v>12</v>
      </c>
      <c r="E456" s="6" t="s">
        <v>13</v>
      </c>
      <c r="F456" s="6" t="str">
        <f>"赵瑞雪"</f>
        <v>赵瑞雪</v>
      </c>
      <c r="G456" s="6" t="str">
        <f t="shared" si="111"/>
        <v>女</v>
      </c>
      <c r="H456" s="6" t="str">
        <f>"1999-10-19"</f>
        <v>1999-10-19</v>
      </c>
      <c r="I456" s="6"/>
    </row>
    <row r="457" s="1" customFormat="1" ht="30" customHeight="1" spans="1:9">
      <c r="A457" s="6">
        <v>455</v>
      </c>
      <c r="B457" s="6" t="str">
        <f>"48712023020114315515653"</f>
        <v>48712023020114315515653</v>
      </c>
      <c r="C457" s="6" t="str">
        <f t="shared" si="107"/>
        <v>0201</v>
      </c>
      <c r="D457" s="6" t="s">
        <v>12</v>
      </c>
      <c r="E457" s="6" t="s">
        <v>13</v>
      </c>
      <c r="F457" s="6" t="str">
        <f>"唐椰"</f>
        <v>唐椰</v>
      </c>
      <c r="G457" s="6" t="str">
        <f t="shared" si="111"/>
        <v>女</v>
      </c>
      <c r="H457" s="6" t="str">
        <f>"1996-03-26"</f>
        <v>1996-03-26</v>
      </c>
      <c r="I457" s="6"/>
    </row>
    <row r="458" s="1" customFormat="1" ht="30" customHeight="1" spans="1:9">
      <c r="A458" s="6">
        <v>456</v>
      </c>
      <c r="B458" s="6" t="str">
        <f>"48712023020114444615703"</f>
        <v>48712023020114444615703</v>
      </c>
      <c r="C458" s="6" t="str">
        <f t="shared" si="107"/>
        <v>0201</v>
      </c>
      <c r="D458" s="6" t="s">
        <v>12</v>
      </c>
      <c r="E458" s="6" t="s">
        <v>13</v>
      </c>
      <c r="F458" s="6" t="str">
        <f>"王本鹏"</f>
        <v>王本鹏</v>
      </c>
      <c r="G458" s="6" t="str">
        <f>"男"</f>
        <v>男</v>
      </c>
      <c r="H458" s="6" t="str">
        <f>"1994-10-09"</f>
        <v>1994-10-09</v>
      </c>
      <c r="I458" s="6"/>
    </row>
    <row r="459" s="1" customFormat="1" ht="30" customHeight="1" spans="1:9">
      <c r="A459" s="6">
        <v>457</v>
      </c>
      <c r="B459" s="6" t="str">
        <f>"48712023020115423715929"</f>
        <v>48712023020115423715929</v>
      </c>
      <c r="C459" s="6" t="str">
        <f t="shared" si="107"/>
        <v>0201</v>
      </c>
      <c r="D459" s="6" t="s">
        <v>12</v>
      </c>
      <c r="E459" s="6" t="s">
        <v>13</v>
      </c>
      <c r="F459" s="6" t="str">
        <f>"黄向榆"</f>
        <v>黄向榆</v>
      </c>
      <c r="G459" s="6" t="str">
        <f t="shared" ref="G459:G467" si="112">"女"</f>
        <v>女</v>
      </c>
      <c r="H459" s="6" t="str">
        <f>"1998-12-27"</f>
        <v>1998-12-27</v>
      </c>
      <c r="I459" s="6"/>
    </row>
    <row r="460" s="1" customFormat="1" ht="30" customHeight="1" spans="1:9">
      <c r="A460" s="6">
        <v>458</v>
      </c>
      <c r="B460" s="6" t="str">
        <f>"48712023020115565315996"</f>
        <v>48712023020115565315996</v>
      </c>
      <c r="C460" s="6" t="str">
        <f t="shared" si="107"/>
        <v>0201</v>
      </c>
      <c r="D460" s="6" t="s">
        <v>12</v>
      </c>
      <c r="E460" s="6" t="s">
        <v>13</v>
      </c>
      <c r="F460" s="6" t="str">
        <f>"向雯鹭"</f>
        <v>向雯鹭</v>
      </c>
      <c r="G460" s="6" t="str">
        <f t="shared" si="112"/>
        <v>女</v>
      </c>
      <c r="H460" s="6" t="str">
        <f>"1992-06-23"</f>
        <v>1992-06-23</v>
      </c>
      <c r="I460" s="6"/>
    </row>
    <row r="461" s="1" customFormat="1" ht="30" customHeight="1" spans="1:9">
      <c r="A461" s="6">
        <v>459</v>
      </c>
      <c r="B461" s="6" t="str">
        <f>"48712023020116434516198"</f>
        <v>48712023020116434516198</v>
      </c>
      <c r="C461" s="6" t="str">
        <f t="shared" si="107"/>
        <v>0201</v>
      </c>
      <c r="D461" s="6" t="s">
        <v>12</v>
      </c>
      <c r="E461" s="6" t="s">
        <v>13</v>
      </c>
      <c r="F461" s="6" t="str">
        <f>"廖晓彤"</f>
        <v>廖晓彤</v>
      </c>
      <c r="G461" s="6" t="str">
        <f t="shared" si="112"/>
        <v>女</v>
      </c>
      <c r="H461" s="6" t="str">
        <f>"1996-12-08"</f>
        <v>1996-12-08</v>
      </c>
      <c r="I461" s="6"/>
    </row>
    <row r="462" s="1" customFormat="1" ht="30" customHeight="1" spans="1:9">
      <c r="A462" s="6">
        <v>460</v>
      </c>
      <c r="B462" s="6" t="str">
        <f>"48712023020116454116203"</f>
        <v>48712023020116454116203</v>
      </c>
      <c r="C462" s="6" t="str">
        <f t="shared" si="107"/>
        <v>0201</v>
      </c>
      <c r="D462" s="6" t="s">
        <v>12</v>
      </c>
      <c r="E462" s="6" t="s">
        <v>13</v>
      </c>
      <c r="F462" s="6" t="str">
        <f>"陈慧怡"</f>
        <v>陈慧怡</v>
      </c>
      <c r="G462" s="6" t="str">
        <f t="shared" si="112"/>
        <v>女</v>
      </c>
      <c r="H462" s="6" t="str">
        <f>"1997-05-23"</f>
        <v>1997-05-23</v>
      </c>
      <c r="I462" s="6"/>
    </row>
    <row r="463" s="1" customFormat="1" ht="30" customHeight="1" spans="1:9">
      <c r="A463" s="6">
        <v>461</v>
      </c>
      <c r="B463" s="6" t="str">
        <f>"48712023020116504316216"</f>
        <v>48712023020116504316216</v>
      </c>
      <c r="C463" s="6" t="str">
        <f t="shared" si="107"/>
        <v>0201</v>
      </c>
      <c r="D463" s="6" t="s">
        <v>12</v>
      </c>
      <c r="E463" s="6" t="s">
        <v>13</v>
      </c>
      <c r="F463" s="6" t="str">
        <f>"王静"</f>
        <v>王静</v>
      </c>
      <c r="G463" s="6" t="str">
        <f t="shared" si="112"/>
        <v>女</v>
      </c>
      <c r="H463" s="6" t="str">
        <f>"1997-09-24"</f>
        <v>1997-09-24</v>
      </c>
      <c r="I463" s="6"/>
    </row>
    <row r="464" s="1" customFormat="1" ht="30" customHeight="1" spans="1:9">
      <c r="A464" s="6">
        <v>462</v>
      </c>
      <c r="B464" s="6" t="str">
        <f>"48712023020117150616282"</f>
        <v>48712023020117150616282</v>
      </c>
      <c r="C464" s="6" t="str">
        <f t="shared" si="107"/>
        <v>0201</v>
      </c>
      <c r="D464" s="6" t="s">
        <v>12</v>
      </c>
      <c r="E464" s="6" t="s">
        <v>13</v>
      </c>
      <c r="F464" s="6" t="str">
        <f>"李珺"</f>
        <v>李珺</v>
      </c>
      <c r="G464" s="6" t="str">
        <f t="shared" si="112"/>
        <v>女</v>
      </c>
      <c r="H464" s="6" t="str">
        <f>"1994-12-21"</f>
        <v>1994-12-21</v>
      </c>
      <c r="I464" s="6"/>
    </row>
    <row r="465" s="1" customFormat="1" ht="30" customHeight="1" spans="1:9">
      <c r="A465" s="6">
        <v>463</v>
      </c>
      <c r="B465" s="6" t="str">
        <f>"48712023020117175216292"</f>
        <v>48712023020117175216292</v>
      </c>
      <c r="C465" s="6" t="str">
        <f t="shared" si="107"/>
        <v>0201</v>
      </c>
      <c r="D465" s="6" t="s">
        <v>12</v>
      </c>
      <c r="E465" s="6" t="s">
        <v>13</v>
      </c>
      <c r="F465" s="6" t="str">
        <f>"窦小雨"</f>
        <v>窦小雨</v>
      </c>
      <c r="G465" s="6" t="str">
        <f t="shared" si="112"/>
        <v>女</v>
      </c>
      <c r="H465" s="6" t="str">
        <f>"1998-05-21"</f>
        <v>1998-05-21</v>
      </c>
      <c r="I465" s="6"/>
    </row>
    <row r="466" s="1" customFormat="1" ht="30" customHeight="1" spans="1:9">
      <c r="A466" s="6">
        <v>464</v>
      </c>
      <c r="B466" s="6" t="str">
        <f>"48712023020117212716314"</f>
        <v>48712023020117212716314</v>
      </c>
      <c r="C466" s="6" t="str">
        <f t="shared" si="107"/>
        <v>0201</v>
      </c>
      <c r="D466" s="6" t="s">
        <v>12</v>
      </c>
      <c r="E466" s="6" t="s">
        <v>13</v>
      </c>
      <c r="F466" s="6" t="str">
        <f>"翁美玲"</f>
        <v>翁美玲</v>
      </c>
      <c r="G466" s="6" t="str">
        <f t="shared" si="112"/>
        <v>女</v>
      </c>
      <c r="H466" s="6" t="str">
        <f>"1992-03-04"</f>
        <v>1992-03-04</v>
      </c>
      <c r="I466" s="6"/>
    </row>
    <row r="467" s="1" customFormat="1" ht="30" customHeight="1" spans="1:9">
      <c r="A467" s="6">
        <v>465</v>
      </c>
      <c r="B467" s="6" t="str">
        <f>"48712023020119055716579"</f>
        <v>48712023020119055716579</v>
      </c>
      <c r="C467" s="6" t="str">
        <f t="shared" si="107"/>
        <v>0201</v>
      </c>
      <c r="D467" s="6" t="s">
        <v>12</v>
      </c>
      <c r="E467" s="6" t="s">
        <v>13</v>
      </c>
      <c r="F467" s="6" t="str">
        <f>"何芬珠"</f>
        <v>何芬珠</v>
      </c>
      <c r="G467" s="6" t="str">
        <f t="shared" si="112"/>
        <v>女</v>
      </c>
      <c r="H467" s="6" t="str">
        <f>"1992-12-08"</f>
        <v>1992-12-08</v>
      </c>
      <c r="I467" s="6"/>
    </row>
    <row r="468" s="1" customFormat="1" ht="30" customHeight="1" spans="1:9">
      <c r="A468" s="6">
        <v>466</v>
      </c>
      <c r="B468" s="6" t="str">
        <f>"48712023020120315916827"</f>
        <v>48712023020120315916827</v>
      </c>
      <c r="C468" s="6" t="str">
        <f t="shared" si="107"/>
        <v>0201</v>
      </c>
      <c r="D468" s="6" t="s">
        <v>12</v>
      </c>
      <c r="E468" s="6" t="s">
        <v>13</v>
      </c>
      <c r="F468" s="6" t="str">
        <f>"孙令逸"</f>
        <v>孙令逸</v>
      </c>
      <c r="G468" s="6" t="str">
        <f t="shared" ref="G468:G473" si="113">"男"</f>
        <v>男</v>
      </c>
      <c r="H468" s="6" t="str">
        <f>"1991-04-28"</f>
        <v>1991-04-28</v>
      </c>
      <c r="I468" s="6"/>
    </row>
    <row r="469" s="1" customFormat="1" ht="30" customHeight="1" spans="1:9">
      <c r="A469" s="6">
        <v>467</v>
      </c>
      <c r="B469" s="6" t="str">
        <f>"48712023020121134816946"</f>
        <v>48712023020121134816946</v>
      </c>
      <c r="C469" s="6" t="str">
        <f t="shared" si="107"/>
        <v>0201</v>
      </c>
      <c r="D469" s="6" t="s">
        <v>12</v>
      </c>
      <c r="E469" s="6" t="s">
        <v>13</v>
      </c>
      <c r="F469" s="6" t="str">
        <f>"张兆鼎"</f>
        <v>张兆鼎</v>
      </c>
      <c r="G469" s="6" t="str">
        <f t="shared" si="113"/>
        <v>男</v>
      </c>
      <c r="H469" s="6" t="str">
        <f>"1995-06-02"</f>
        <v>1995-06-02</v>
      </c>
      <c r="I469" s="6"/>
    </row>
    <row r="470" s="1" customFormat="1" ht="30" customHeight="1" spans="1:9">
      <c r="A470" s="6">
        <v>468</v>
      </c>
      <c r="B470" s="6" t="str">
        <f>"48712023020122423617217"</f>
        <v>48712023020122423617217</v>
      </c>
      <c r="C470" s="6" t="str">
        <f t="shared" si="107"/>
        <v>0201</v>
      </c>
      <c r="D470" s="6" t="s">
        <v>12</v>
      </c>
      <c r="E470" s="6" t="s">
        <v>13</v>
      </c>
      <c r="F470" s="6" t="str">
        <f>"郑婷"</f>
        <v>郑婷</v>
      </c>
      <c r="G470" s="6" t="str">
        <f t="shared" ref="G470:G472" si="114">"女"</f>
        <v>女</v>
      </c>
      <c r="H470" s="6" t="str">
        <f>"1998-05-02"</f>
        <v>1998-05-02</v>
      </c>
      <c r="I470" s="6"/>
    </row>
    <row r="471" s="1" customFormat="1" ht="30" customHeight="1" spans="1:9">
      <c r="A471" s="6">
        <v>469</v>
      </c>
      <c r="B471" s="6" t="str">
        <f>"48712023020123534717367"</f>
        <v>48712023020123534717367</v>
      </c>
      <c r="C471" s="6" t="str">
        <f t="shared" si="107"/>
        <v>0201</v>
      </c>
      <c r="D471" s="6" t="s">
        <v>12</v>
      </c>
      <c r="E471" s="6" t="s">
        <v>13</v>
      </c>
      <c r="F471" s="6" t="str">
        <f>"杨晶"</f>
        <v>杨晶</v>
      </c>
      <c r="G471" s="6" t="str">
        <f t="shared" si="114"/>
        <v>女</v>
      </c>
      <c r="H471" s="6" t="str">
        <f>"1990-12-12"</f>
        <v>1990-12-12</v>
      </c>
      <c r="I471" s="6"/>
    </row>
    <row r="472" s="1" customFormat="1" ht="30" customHeight="1" spans="1:9">
      <c r="A472" s="6">
        <v>470</v>
      </c>
      <c r="B472" s="6" t="str">
        <f>"48712023020200144417393"</f>
        <v>48712023020200144417393</v>
      </c>
      <c r="C472" s="6" t="str">
        <f t="shared" si="107"/>
        <v>0201</v>
      </c>
      <c r="D472" s="6" t="s">
        <v>12</v>
      </c>
      <c r="E472" s="6" t="s">
        <v>13</v>
      </c>
      <c r="F472" s="6" t="str">
        <f>"莫茜茜"</f>
        <v>莫茜茜</v>
      </c>
      <c r="G472" s="6" t="str">
        <f t="shared" si="114"/>
        <v>女</v>
      </c>
      <c r="H472" s="6" t="str">
        <f>"1997-12-27"</f>
        <v>1997-12-27</v>
      </c>
      <c r="I472" s="6"/>
    </row>
    <row r="473" s="1" customFormat="1" ht="30" customHeight="1" spans="1:9">
      <c r="A473" s="6">
        <v>471</v>
      </c>
      <c r="B473" s="6" t="str">
        <f>"48712023020200204817399"</f>
        <v>48712023020200204817399</v>
      </c>
      <c r="C473" s="6" t="str">
        <f t="shared" si="107"/>
        <v>0201</v>
      </c>
      <c r="D473" s="6" t="s">
        <v>12</v>
      </c>
      <c r="E473" s="6" t="s">
        <v>13</v>
      </c>
      <c r="F473" s="6" t="str">
        <f>"孟潇潇"</f>
        <v>孟潇潇</v>
      </c>
      <c r="G473" s="6" t="str">
        <f t="shared" si="113"/>
        <v>男</v>
      </c>
      <c r="H473" s="6" t="str">
        <f>"1998-10-01"</f>
        <v>1998-10-01</v>
      </c>
      <c r="I473" s="6"/>
    </row>
    <row r="474" s="1" customFormat="1" ht="30" customHeight="1" spans="1:9">
      <c r="A474" s="6">
        <v>472</v>
      </c>
      <c r="B474" s="6" t="str">
        <f>"48712023020205505017444"</f>
        <v>48712023020205505017444</v>
      </c>
      <c r="C474" s="6" t="str">
        <f t="shared" si="107"/>
        <v>0201</v>
      </c>
      <c r="D474" s="6" t="s">
        <v>12</v>
      </c>
      <c r="E474" s="6" t="s">
        <v>13</v>
      </c>
      <c r="F474" s="6" t="str">
        <f>"徐雅迪"</f>
        <v>徐雅迪</v>
      </c>
      <c r="G474" s="6" t="str">
        <f t="shared" ref="G474:G489" si="115">"女"</f>
        <v>女</v>
      </c>
      <c r="H474" s="6" t="str">
        <f>"1994-07-15"</f>
        <v>1994-07-15</v>
      </c>
      <c r="I474" s="6"/>
    </row>
    <row r="475" s="1" customFormat="1" ht="30" customHeight="1" spans="1:9">
      <c r="A475" s="6">
        <v>473</v>
      </c>
      <c r="B475" s="6" t="str">
        <f>"48712023020208595117487"</f>
        <v>48712023020208595117487</v>
      </c>
      <c r="C475" s="6" t="str">
        <f t="shared" si="107"/>
        <v>0201</v>
      </c>
      <c r="D475" s="6" t="s">
        <v>12</v>
      </c>
      <c r="E475" s="6" t="s">
        <v>13</v>
      </c>
      <c r="F475" s="6" t="str">
        <f>"王宁"</f>
        <v>王宁</v>
      </c>
      <c r="G475" s="6" t="str">
        <f t="shared" si="115"/>
        <v>女</v>
      </c>
      <c r="H475" s="6" t="str">
        <f>"1999-09-30"</f>
        <v>1999-09-30</v>
      </c>
      <c r="I475" s="6"/>
    </row>
    <row r="476" s="1" customFormat="1" ht="30" customHeight="1" spans="1:9">
      <c r="A476" s="6">
        <v>474</v>
      </c>
      <c r="B476" s="6" t="str">
        <f>"48712023020209000017488"</f>
        <v>48712023020209000017488</v>
      </c>
      <c r="C476" s="6" t="str">
        <f t="shared" si="107"/>
        <v>0201</v>
      </c>
      <c r="D476" s="6" t="s">
        <v>12</v>
      </c>
      <c r="E476" s="6" t="s">
        <v>13</v>
      </c>
      <c r="F476" s="6" t="str">
        <f>"马红绡"</f>
        <v>马红绡</v>
      </c>
      <c r="G476" s="6" t="str">
        <f t="shared" si="115"/>
        <v>女</v>
      </c>
      <c r="H476" s="6" t="str">
        <f>"1999-06-17"</f>
        <v>1999-06-17</v>
      </c>
      <c r="I476" s="6"/>
    </row>
    <row r="477" s="1" customFormat="1" ht="30" customHeight="1" spans="1:9">
      <c r="A477" s="6">
        <v>475</v>
      </c>
      <c r="B477" s="6" t="str">
        <f>"48712023020209003217489"</f>
        <v>48712023020209003217489</v>
      </c>
      <c r="C477" s="6" t="str">
        <f t="shared" si="107"/>
        <v>0201</v>
      </c>
      <c r="D477" s="6" t="s">
        <v>12</v>
      </c>
      <c r="E477" s="6" t="s">
        <v>13</v>
      </c>
      <c r="F477" s="6" t="str">
        <f>"姜雨婷"</f>
        <v>姜雨婷</v>
      </c>
      <c r="G477" s="6" t="str">
        <f t="shared" si="115"/>
        <v>女</v>
      </c>
      <c r="H477" s="6" t="str">
        <f>"1991-11-20"</f>
        <v>1991-11-20</v>
      </c>
      <c r="I477" s="6"/>
    </row>
    <row r="478" s="1" customFormat="1" ht="30" customHeight="1" spans="1:9">
      <c r="A478" s="6">
        <v>476</v>
      </c>
      <c r="B478" s="6" t="str">
        <f>"48712023020209403617574"</f>
        <v>48712023020209403617574</v>
      </c>
      <c r="C478" s="6" t="str">
        <f t="shared" si="107"/>
        <v>0201</v>
      </c>
      <c r="D478" s="6" t="s">
        <v>12</v>
      </c>
      <c r="E478" s="6" t="s">
        <v>13</v>
      </c>
      <c r="F478" s="6" t="str">
        <f>"符冬"</f>
        <v>符冬</v>
      </c>
      <c r="G478" s="6" t="str">
        <f t="shared" si="115"/>
        <v>女</v>
      </c>
      <c r="H478" s="6" t="str">
        <f>"1994-04-10"</f>
        <v>1994-04-10</v>
      </c>
      <c r="I478" s="6"/>
    </row>
    <row r="479" s="1" customFormat="1" ht="30" customHeight="1" spans="1:9">
      <c r="A479" s="6">
        <v>477</v>
      </c>
      <c r="B479" s="6" t="str">
        <f>"48712023020209582217630"</f>
        <v>48712023020209582217630</v>
      </c>
      <c r="C479" s="6" t="str">
        <f t="shared" si="107"/>
        <v>0201</v>
      </c>
      <c r="D479" s="6" t="s">
        <v>12</v>
      </c>
      <c r="E479" s="6" t="s">
        <v>13</v>
      </c>
      <c r="F479" s="6" t="str">
        <f>"羊惠丹"</f>
        <v>羊惠丹</v>
      </c>
      <c r="G479" s="6" t="str">
        <f t="shared" si="115"/>
        <v>女</v>
      </c>
      <c r="H479" s="6" t="str">
        <f>"1997-05-21"</f>
        <v>1997-05-21</v>
      </c>
      <c r="I479" s="6"/>
    </row>
    <row r="480" s="1" customFormat="1" ht="30" customHeight="1" spans="1:9">
      <c r="A480" s="6">
        <v>478</v>
      </c>
      <c r="B480" s="6" t="str">
        <f>"48712023020210003517635"</f>
        <v>48712023020210003517635</v>
      </c>
      <c r="C480" s="6" t="str">
        <f t="shared" si="107"/>
        <v>0201</v>
      </c>
      <c r="D480" s="6" t="s">
        <v>12</v>
      </c>
      <c r="E480" s="6" t="s">
        <v>13</v>
      </c>
      <c r="F480" s="6" t="str">
        <f>"吴瑛琪"</f>
        <v>吴瑛琪</v>
      </c>
      <c r="G480" s="6" t="str">
        <f t="shared" si="115"/>
        <v>女</v>
      </c>
      <c r="H480" s="6" t="str">
        <f>"1999-03-29"</f>
        <v>1999-03-29</v>
      </c>
      <c r="I480" s="6"/>
    </row>
    <row r="481" s="1" customFormat="1" ht="30" customHeight="1" spans="1:9">
      <c r="A481" s="6">
        <v>479</v>
      </c>
      <c r="B481" s="6" t="str">
        <f>"48712023020210083017652"</f>
        <v>48712023020210083017652</v>
      </c>
      <c r="C481" s="6" t="str">
        <f t="shared" si="107"/>
        <v>0201</v>
      </c>
      <c r="D481" s="6" t="s">
        <v>12</v>
      </c>
      <c r="E481" s="6" t="s">
        <v>13</v>
      </c>
      <c r="F481" s="6" t="str">
        <f>"钟水合"</f>
        <v>钟水合</v>
      </c>
      <c r="G481" s="6" t="str">
        <f t="shared" si="115"/>
        <v>女</v>
      </c>
      <c r="H481" s="6" t="str">
        <f>"1996-02-09"</f>
        <v>1996-02-09</v>
      </c>
      <c r="I481" s="6"/>
    </row>
    <row r="482" s="1" customFormat="1" ht="30" customHeight="1" spans="1:9">
      <c r="A482" s="6">
        <v>480</v>
      </c>
      <c r="B482" s="6" t="str">
        <f>"48712023020210131317662"</f>
        <v>48712023020210131317662</v>
      </c>
      <c r="C482" s="6" t="str">
        <f t="shared" si="107"/>
        <v>0201</v>
      </c>
      <c r="D482" s="6" t="s">
        <v>12</v>
      </c>
      <c r="E482" s="6" t="s">
        <v>13</v>
      </c>
      <c r="F482" s="6" t="str">
        <f>"徐霜"</f>
        <v>徐霜</v>
      </c>
      <c r="G482" s="6" t="str">
        <f t="shared" si="115"/>
        <v>女</v>
      </c>
      <c r="H482" s="6" t="str">
        <f>"1987-11-09"</f>
        <v>1987-11-09</v>
      </c>
      <c r="I482" s="6"/>
    </row>
    <row r="483" s="1" customFormat="1" ht="30" customHeight="1" spans="1:9">
      <c r="A483" s="6">
        <v>481</v>
      </c>
      <c r="B483" s="6" t="str">
        <f>"48712023020210485517799"</f>
        <v>48712023020210485517799</v>
      </c>
      <c r="C483" s="6" t="str">
        <f t="shared" si="107"/>
        <v>0201</v>
      </c>
      <c r="D483" s="6" t="s">
        <v>12</v>
      </c>
      <c r="E483" s="6" t="s">
        <v>13</v>
      </c>
      <c r="F483" s="6" t="str">
        <f>"葛橙滟"</f>
        <v>葛橙滟</v>
      </c>
      <c r="G483" s="6" t="str">
        <f t="shared" si="115"/>
        <v>女</v>
      </c>
      <c r="H483" s="6" t="str">
        <f>"2000-10-14"</f>
        <v>2000-10-14</v>
      </c>
      <c r="I483" s="6"/>
    </row>
    <row r="484" s="1" customFormat="1" ht="30" customHeight="1" spans="1:9">
      <c r="A484" s="6">
        <v>482</v>
      </c>
      <c r="B484" s="6" t="str">
        <f>"48712023020211094217863"</f>
        <v>48712023020211094217863</v>
      </c>
      <c r="C484" s="6" t="str">
        <f t="shared" si="107"/>
        <v>0201</v>
      </c>
      <c r="D484" s="6" t="s">
        <v>12</v>
      </c>
      <c r="E484" s="6" t="s">
        <v>13</v>
      </c>
      <c r="F484" s="6" t="str">
        <f>"王春雨"</f>
        <v>王春雨</v>
      </c>
      <c r="G484" s="6" t="str">
        <f t="shared" si="115"/>
        <v>女</v>
      </c>
      <c r="H484" s="6" t="str">
        <f>"1991-08-02"</f>
        <v>1991-08-02</v>
      </c>
      <c r="I484" s="6"/>
    </row>
    <row r="485" s="1" customFormat="1" ht="30" customHeight="1" spans="1:9">
      <c r="A485" s="6">
        <v>483</v>
      </c>
      <c r="B485" s="6" t="str">
        <f>"48712023020211115217873"</f>
        <v>48712023020211115217873</v>
      </c>
      <c r="C485" s="6" t="str">
        <f t="shared" si="107"/>
        <v>0201</v>
      </c>
      <c r="D485" s="6" t="s">
        <v>12</v>
      </c>
      <c r="E485" s="6" t="s">
        <v>13</v>
      </c>
      <c r="F485" s="6" t="str">
        <f>"蓝畅"</f>
        <v>蓝畅</v>
      </c>
      <c r="G485" s="6" t="str">
        <f t="shared" si="115"/>
        <v>女</v>
      </c>
      <c r="H485" s="6" t="str">
        <f>"1994-03-27"</f>
        <v>1994-03-27</v>
      </c>
      <c r="I485" s="6"/>
    </row>
    <row r="486" s="1" customFormat="1" ht="30" customHeight="1" spans="1:9">
      <c r="A486" s="6">
        <v>484</v>
      </c>
      <c r="B486" s="6" t="str">
        <f>"48712023020211135017884"</f>
        <v>48712023020211135017884</v>
      </c>
      <c r="C486" s="6" t="str">
        <f t="shared" si="107"/>
        <v>0201</v>
      </c>
      <c r="D486" s="6" t="s">
        <v>12</v>
      </c>
      <c r="E486" s="6" t="s">
        <v>13</v>
      </c>
      <c r="F486" s="6" t="str">
        <f>"潘红"</f>
        <v>潘红</v>
      </c>
      <c r="G486" s="6" t="str">
        <f t="shared" si="115"/>
        <v>女</v>
      </c>
      <c r="H486" s="6" t="str">
        <f>"1990-07-14"</f>
        <v>1990-07-14</v>
      </c>
      <c r="I486" s="6"/>
    </row>
    <row r="487" s="1" customFormat="1" ht="30" customHeight="1" spans="1:9">
      <c r="A487" s="6">
        <v>485</v>
      </c>
      <c r="B487" s="6" t="str">
        <f>"48712023020211174817901"</f>
        <v>48712023020211174817901</v>
      </c>
      <c r="C487" s="6" t="str">
        <f t="shared" si="107"/>
        <v>0201</v>
      </c>
      <c r="D487" s="6" t="s">
        <v>12</v>
      </c>
      <c r="E487" s="6" t="s">
        <v>13</v>
      </c>
      <c r="F487" s="6" t="str">
        <f>"陈依林"</f>
        <v>陈依林</v>
      </c>
      <c r="G487" s="6" t="str">
        <f t="shared" si="115"/>
        <v>女</v>
      </c>
      <c r="H487" s="6" t="str">
        <f>"1991-11-19"</f>
        <v>1991-11-19</v>
      </c>
      <c r="I487" s="6"/>
    </row>
    <row r="488" s="1" customFormat="1" ht="30" customHeight="1" spans="1:9">
      <c r="A488" s="6">
        <v>486</v>
      </c>
      <c r="B488" s="6" t="str">
        <f>"48712023020211341317957"</f>
        <v>48712023020211341317957</v>
      </c>
      <c r="C488" s="6" t="str">
        <f t="shared" si="107"/>
        <v>0201</v>
      </c>
      <c r="D488" s="6" t="s">
        <v>12</v>
      </c>
      <c r="E488" s="6" t="s">
        <v>13</v>
      </c>
      <c r="F488" s="6" t="str">
        <f>"李梦怡"</f>
        <v>李梦怡</v>
      </c>
      <c r="G488" s="6" t="str">
        <f t="shared" si="115"/>
        <v>女</v>
      </c>
      <c r="H488" s="6" t="str">
        <f>"1996-03-29"</f>
        <v>1996-03-29</v>
      </c>
      <c r="I488" s="6"/>
    </row>
    <row r="489" s="1" customFormat="1" ht="30" customHeight="1" spans="1:9">
      <c r="A489" s="6">
        <v>487</v>
      </c>
      <c r="B489" s="6" t="str">
        <f>"48712023020211552918029"</f>
        <v>48712023020211552918029</v>
      </c>
      <c r="C489" s="6" t="str">
        <f t="shared" si="107"/>
        <v>0201</v>
      </c>
      <c r="D489" s="6" t="s">
        <v>12</v>
      </c>
      <c r="E489" s="6" t="s">
        <v>13</v>
      </c>
      <c r="F489" s="6" t="str">
        <f>"朱琪"</f>
        <v>朱琪</v>
      </c>
      <c r="G489" s="6" t="str">
        <f t="shared" si="115"/>
        <v>女</v>
      </c>
      <c r="H489" s="6" t="str">
        <f>"1995-11-16"</f>
        <v>1995-11-16</v>
      </c>
      <c r="I489" s="6"/>
    </row>
    <row r="490" s="1" customFormat="1" ht="30" customHeight="1" spans="1:9">
      <c r="A490" s="6">
        <v>488</v>
      </c>
      <c r="B490" s="6" t="str">
        <f>"48712023020211582518035"</f>
        <v>48712023020211582518035</v>
      </c>
      <c r="C490" s="6" t="str">
        <f t="shared" si="107"/>
        <v>0201</v>
      </c>
      <c r="D490" s="6" t="s">
        <v>12</v>
      </c>
      <c r="E490" s="6" t="s">
        <v>13</v>
      </c>
      <c r="F490" s="6" t="str">
        <f>"羊栋才"</f>
        <v>羊栋才</v>
      </c>
      <c r="G490" s="6" t="str">
        <f>"男"</f>
        <v>男</v>
      </c>
      <c r="H490" s="6" t="str">
        <f>"2000-04-21"</f>
        <v>2000-04-21</v>
      </c>
      <c r="I490" s="6"/>
    </row>
    <row r="491" s="1" customFormat="1" ht="30" customHeight="1" spans="1:9">
      <c r="A491" s="6">
        <v>489</v>
      </c>
      <c r="B491" s="6" t="str">
        <f>"48712023020212165718074"</f>
        <v>48712023020212165718074</v>
      </c>
      <c r="C491" s="6" t="str">
        <f t="shared" si="107"/>
        <v>0201</v>
      </c>
      <c r="D491" s="6" t="s">
        <v>12</v>
      </c>
      <c r="E491" s="6" t="s">
        <v>13</v>
      </c>
      <c r="F491" s="6" t="str">
        <f>"郭禄"</f>
        <v>郭禄</v>
      </c>
      <c r="G491" s="6" t="str">
        <f>"女"</f>
        <v>女</v>
      </c>
      <c r="H491" s="6" t="str">
        <f>"1997-02-26"</f>
        <v>1997-02-26</v>
      </c>
      <c r="I491" s="6"/>
    </row>
    <row r="492" s="1" customFormat="1" ht="30" customHeight="1" spans="1:9">
      <c r="A492" s="6">
        <v>490</v>
      </c>
      <c r="B492" s="6" t="str">
        <f>"48712023020212172418076"</f>
        <v>48712023020212172418076</v>
      </c>
      <c r="C492" s="6" t="str">
        <f t="shared" si="107"/>
        <v>0201</v>
      </c>
      <c r="D492" s="6" t="s">
        <v>12</v>
      </c>
      <c r="E492" s="6" t="s">
        <v>13</v>
      </c>
      <c r="F492" s="6" t="str">
        <f>"吴健"</f>
        <v>吴健</v>
      </c>
      <c r="G492" s="6" t="str">
        <f>"男"</f>
        <v>男</v>
      </c>
      <c r="H492" s="6" t="str">
        <f>"1998-06-25"</f>
        <v>1998-06-25</v>
      </c>
      <c r="I492" s="6"/>
    </row>
    <row r="493" s="1" customFormat="1" ht="30" customHeight="1" spans="1:9">
      <c r="A493" s="6">
        <v>491</v>
      </c>
      <c r="B493" s="6" t="str">
        <f>"48712023020212465318129"</f>
        <v>48712023020212465318129</v>
      </c>
      <c r="C493" s="6" t="str">
        <f t="shared" ref="C493:C556" si="116">"0201"</f>
        <v>0201</v>
      </c>
      <c r="D493" s="6" t="s">
        <v>12</v>
      </c>
      <c r="E493" s="6" t="s">
        <v>13</v>
      </c>
      <c r="F493" s="6" t="str">
        <f>"符瑞女"</f>
        <v>符瑞女</v>
      </c>
      <c r="G493" s="6" t="str">
        <f t="shared" ref="G493:G502" si="117">"女"</f>
        <v>女</v>
      </c>
      <c r="H493" s="6" t="str">
        <f>"1996-01-12"</f>
        <v>1996-01-12</v>
      </c>
      <c r="I493" s="6"/>
    </row>
    <row r="494" s="1" customFormat="1" ht="30" customHeight="1" spans="1:9">
      <c r="A494" s="6">
        <v>492</v>
      </c>
      <c r="B494" s="6" t="str">
        <f>"48712023020212471218130"</f>
        <v>48712023020212471218130</v>
      </c>
      <c r="C494" s="6" t="str">
        <f t="shared" si="116"/>
        <v>0201</v>
      </c>
      <c r="D494" s="6" t="s">
        <v>12</v>
      </c>
      <c r="E494" s="6" t="s">
        <v>13</v>
      </c>
      <c r="F494" s="6" t="str">
        <f>"许梅"</f>
        <v>许梅</v>
      </c>
      <c r="G494" s="6" t="str">
        <f t="shared" si="117"/>
        <v>女</v>
      </c>
      <c r="H494" s="6" t="str">
        <f>"1993-10-15"</f>
        <v>1993-10-15</v>
      </c>
      <c r="I494" s="6"/>
    </row>
    <row r="495" s="1" customFormat="1" ht="30" customHeight="1" spans="1:9">
      <c r="A495" s="6">
        <v>493</v>
      </c>
      <c r="B495" s="6" t="str">
        <f>"48712023020215200318479"</f>
        <v>48712023020215200318479</v>
      </c>
      <c r="C495" s="6" t="str">
        <f t="shared" si="116"/>
        <v>0201</v>
      </c>
      <c r="D495" s="6" t="s">
        <v>12</v>
      </c>
      <c r="E495" s="6" t="s">
        <v>13</v>
      </c>
      <c r="F495" s="6" t="str">
        <f>"王小欣"</f>
        <v>王小欣</v>
      </c>
      <c r="G495" s="6" t="str">
        <f t="shared" si="117"/>
        <v>女</v>
      </c>
      <c r="H495" s="6" t="str">
        <f>"1997-03-18"</f>
        <v>1997-03-18</v>
      </c>
      <c r="I495" s="6"/>
    </row>
    <row r="496" s="1" customFormat="1" ht="30" customHeight="1" spans="1:9">
      <c r="A496" s="6">
        <v>494</v>
      </c>
      <c r="B496" s="6" t="str">
        <f>"48712023020215234018485"</f>
        <v>48712023020215234018485</v>
      </c>
      <c r="C496" s="6" t="str">
        <f t="shared" si="116"/>
        <v>0201</v>
      </c>
      <c r="D496" s="6" t="s">
        <v>12</v>
      </c>
      <c r="E496" s="6" t="s">
        <v>13</v>
      </c>
      <c r="F496" s="6" t="str">
        <f>"王苹"</f>
        <v>王苹</v>
      </c>
      <c r="G496" s="6" t="str">
        <f t="shared" si="117"/>
        <v>女</v>
      </c>
      <c r="H496" s="6" t="str">
        <f>"1992-08-09"</f>
        <v>1992-08-09</v>
      </c>
      <c r="I496" s="6"/>
    </row>
    <row r="497" s="1" customFormat="1" ht="30" customHeight="1" spans="1:9">
      <c r="A497" s="6">
        <v>495</v>
      </c>
      <c r="B497" s="6" t="str">
        <f>"48712023020215260518493"</f>
        <v>48712023020215260518493</v>
      </c>
      <c r="C497" s="6" t="str">
        <f t="shared" si="116"/>
        <v>0201</v>
      </c>
      <c r="D497" s="6" t="s">
        <v>12</v>
      </c>
      <c r="E497" s="6" t="s">
        <v>13</v>
      </c>
      <c r="F497" s="6" t="str">
        <f>"王玖菊"</f>
        <v>王玖菊</v>
      </c>
      <c r="G497" s="6" t="str">
        <f t="shared" si="117"/>
        <v>女</v>
      </c>
      <c r="H497" s="6" t="str">
        <f>"2001-09-01"</f>
        <v>2001-09-01</v>
      </c>
      <c r="I497" s="6"/>
    </row>
    <row r="498" s="1" customFormat="1" ht="30" customHeight="1" spans="1:9">
      <c r="A498" s="6">
        <v>496</v>
      </c>
      <c r="B498" s="6" t="str">
        <f>"48712023020215383718529"</f>
        <v>48712023020215383718529</v>
      </c>
      <c r="C498" s="6" t="str">
        <f t="shared" si="116"/>
        <v>0201</v>
      </c>
      <c r="D498" s="6" t="s">
        <v>12</v>
      </c>
      <c r="E498" s="6" t="s">
        <v>13</v>
      </c>
      <c r="F498" s="6" t="str">
        <f>"黄明慧"</f>
        <v>黄明慧</v>
      </c>
      <c r="G498" s="6" t="str">
        <f t="shared" si="117"/>
        <v>女</v>
      </c>
      <c r="H498" s="6" t="str">
        <f>"1995-06-05"</f>
        <v>1995-06-05</v>
      </c>
      <c r="I498" s="6"/>
    </row>
    <row r="499" s="1" customFormat="1" ht="30" customHeight="1" spans="1:9">
      <c r="A499" s="6">
        <v>497</v>
      </c>
      <c r="B499" s="6" t="str">
        <f>"48712023020216183518639"</f>
        <v>48712023020216183518639</v>
      </c>
      <c r="C499" s="6" t="str">
        <f t="shared" si="116"/>
        <v>0201</v>
      </c>
      <c r="D499" s="6" t="s">
        <v>12</v>
      </c>
      <c r="E499" s="6" t="s">
        <v>13</v>
      </c>
      <c r="F499" s="6" t="str">
        <f>"肖姣艳"</f>
        <v>肖姣艳</v>
      </c>
      <c r="G499" s="6" t="str">
        <f t="shared" si="117"/>
        <v>女</v>
      </c>
      <c r="H499" s="6" t="str">
        <f>"1998-03-15"</f>
        <v>1998-03-15</v>
      </c>
      <c r="I499" s="6"/>
    </row>
    <row r="500" s="1" customFormat="1" ht="30" customHeight="1" spans="1:9">
      <c r="A500" s="6">
        <v>498</v>
      </c>
      <c r="B500" s="6" t="str">
        <f>"48712023020216192818640"</f>
        <v>48712023020216192818640</v>
      </c>
      <c r="C500" s="6" t="str">
        <f t="shared" si="116"/>
        <v>0201</v>
      </c>
      <c r="D500" s="6" t="s">
        <v>12</v>
      </c>
      <c r="E500" s="6" t="s">
        <v>13</v>
      </c>
      <c r="F500" s="6" t="str">
        <f>"陈香"</f>
        <v>陈香</v>
      </c>
      <c r="G500" s="6" t="str">
        <f t="shared" si="117"/>
        <v>女</v>
      </c>
      <c r="H500" s="6" t="str">
        <f>"1997-11-25"</f>
        <v>1997-11-25</v>
      </c>
      <c r="I500" s="6"/>
    </row>
    <row r="501" s="1" customFormat="1" ht="30" customHeight="1" spans="1:9">
      <c r="A501" s="6">
        <v>499</v>
      </c>
      <c r="B501" s="6" t="str">
        <f>"48712023020216233018654"</f>
        <v>48712023020216233018654</v>
      </c>
      <c r="C501" s="6" t="str">
        <f t="shared" si="116"/>
        <v>0201</v>
      </c>
      <c r="D501" s="6" t="s">
        <v>12</v>
      </c>
      <c r="E501" s="6" t="s">
        <v>13</v>
      </c>
      <c r="F501" s="6" t="str">
        <f>"石翠瑶"</f>
        <v>石翠瑶</v>
      </c>
      <c r="G501" s="6" t="str">
        <f t="shared" si="117"/>
        <v>女</v>
      </c>
      <c r="H501" s="6" t="str">
        <f>"1996-07-07"</f>
        <v>1996-07-07</v>
      </c>
      <c r="I501" s="6"/>
    </row>
    <row r="502" s="1" customFormat="1" ht="30" customHeight="1" spans="1:9">
      <c r="A502" s="6">
        <v>500</v>
      </c>
      <c r="B502" s="6" t="str">
        <f>"48712023020217103318775"</f>
        <v>48712023020217103318775</v>
      </c>
      <c r="C502" s="6" t="str">
        <f t="shared" si="116"/>
        <v>0201</v>
      </c>
      <c r="D502" s="6" t="s">
        <v>12</v>
      </c>
      <c r="E502" s="6" t="s">
        <v>13</v>
      </c>
      <c r="F502" s="6" t="str">
        <f>"卢彦僕"</f>
        <v>卢彦僕</v>
      </c>
      <c r="G502" s="6" t="str">
        <f t="shared" si="117"/>
        <v>女</v>
      </c>
      <c r="H502" s="6" t="str">
        <f>"1989-04-18"</f>
        <v>1989-04-18</v>
      </c>
      <c r="I502" s="6"/>
    </row>
    <row r="503" s="1" customFormat="1" ht="30" customHeight="1" spans="1:9">
      <c r="A503" s="6">
        <v>501</v>
      </c>
      <c r="B503" s="6" t="str">
        <f>"48712023020220552319214"</f>
        <v>48712023020220552319214</v>
      </c>
      <c r="C503" s="6" t="str">
        <f t="shared" si="116"/>
        <v>0201</v>
      </c>
      <c r="D503" s="6" t="s">
        <v>12</v>
      </c>
      <c r="E503" s="6" t="s">
        <v>13</v>
      </c>
      <c r="F503" s="6" t="str">
        <f>"黎培刚"</f>
        <v>黎培刚</v>
      </c>
      <c r="G503" s="6" t="str">
        <f t="shared" ref="G503:G507" si="118">"男"</f>
        <v>男</v>
      </c>
      <c r="H503" s="6" t="str">
        <f>"2000-04-23"</f>
        <v>2000-04-23</v>
      </c>
      <c r="I503" s="6"/>
    </row>
    <row r="504" s="1" customFormat="1" ht="30" customHeight="1" spans="1:9">
      <c r="A504" s="6">
        <v>502</v>
      </c>
      <c r="B504" s="6" t="str">
        <f>"48712023020221123919259"</f>
        <v>48712023020221123919259</v>
      </c>
      <c r="C504" s="6" t="str">
        <f t="shared" si="116"/>
        <v>0201</v>
      </c>
      <c r="D504" s="6" t="s">
        <v>12</v>
      </c>
      <c r="E504" s="6" t="s">
        <v>13</v>
      </c>
      <c r="F504" s="6" t="str">
        <f>"王永梅"</f>
        <v>王永梅</v>
      </c>
      <c r="G504" s="6" t="str">
        <f t="shared" ref="G504:G510" si="119">"女"</f>
        <v>女</v>
      </c>
      <c r="H504" s="6" t="str">
        <f>"1993-08-20"</f>
        <v>1993-08-20</v>
      </c>
      <c r="I504" s="6"/>
    </row>
    <row r="505" s="1" customFormat="1" ht="30" customHeight="1" spans="1:9">
      <c r="A505" s="6">
        <v>503</v>
      </c>
      <c r="B505" s="6" t="str">
        <f>"48712023020221403019333"</f>
        <v>48712023020221403019333</v>
      </c>
      <c r="C505" s="6" t="str">
        <f t="shared" si="116"/>
        <v>0201</v>
      </c>
      <c r="D505" s="6" t="s">
        <v>12</v>
      </c>
      <c r="E505" s="6" t="s">
        <v>13</v>
      </c>
      <c r="F505" s="6" t="str">
        <f>"徐秋玲"</f>
        <v>徐秋玲</v>
      </c>
      <c r="G505" s="6" t="str">
        <f t="shared" si="119"/>
        <v>女</v>
      </c>
      <c r="H505" s="6" t="str">
        <f>"1996-08-04"</f>
        <v>1996-08-04</v>
      </c>
      <c r="I505" s="6"/>
    </row>
    <row r="506" s="1" customFormat="1" ht="30" customHeight="1" spans="1:9">
      <c r="A506" s="6">
        <v>504</v>
      </c>
      <c r="B506" s="6" t="str">
        <f>"48712023020221585519384"</f>
        <v>48712023020221585519384</v>
      </c>
      <c r="C506" s="6" t="str">
        <f t="shared" si="116"/>
        <v>0201</v>
      </c>
      <c r="D506" s="6" t="s">
        <v>12</v>
      </c>
      <c r="E506" s="6" t="s">
        <v>13</v>
      </c>
      <c r="F506" s="6" t="str">
        <f>"黄湃"</f>
        <v>黄湃</v>
      </c>
      <c r="G506" s="6" t="str">
        <f t="shared" si="118"/>
        <v>男</v>
      </c>
      <c r="H506" s="6" t="str">
        <f>"1997-08-20"</f>
        <v>1997-08-20</v>
      </c>
      <c r="I506" s="6"/>
    </row>
    <row r="507" s="1" customFormat="1" ht="30" customHeight="1" spans="1:9">
      <c r="A507" s="6">
        <v>505</v>
      </c>
      <c r="B507" s="6" t="str">
        <f>"48712023020222115919418"</f>
        <v>48712023020222115919418</v>
      </c>
      <c r="C507" s="6" t="str">
        <f t="shared" si="116"/>
        <v>0201</v>
      </c>
      <c r="D507" s="6" t="s">
        <v>12</v>
      </c>
      <c r="E507" s="6" t="s">
        <v>13</v>
      </c>
      <c r="F507" s="6" t="str">
        <f>"李健"</f>
        <v>李健</v>
      </c>
      <c r="G507" s="6" t="str">
        <f t="shared" si="118"/>
        <v>男</v>
      </c>
      <c r="H507" s="6" t="str">
        <f>"1988-06-27"</f>
        <v>1988-06-27</v>
      </c>
      <c r="I507" s="6"/>
    </row>
    <row r="508" s="1" customFormat="1" ht="30" customHeight="1" spans="1:9">
      <c r="A508" s="6">
        <v>506</v>
      </c>
      <c r="B508" s="6" t="str">
        <f>"48712023020223044819522"</f>
        <v>48712023020223044819522</v>
      </c>
      <c r="C508" s="6" t="str">
        <f t="shared" si="116"/>
        <v>0201</v>
      </c>
      <c r="D508" s="6" t="s">
        <v>12</v>
      </c>
      <c r="E508" s="6" t="s">
        <v>13</v>
      </c>
      <c r="F508" s="6" t="str">
        <f>"黄佳静"</f>
        <v>黄佳静</v>
      </c>
      <c r="G508" s="6" t="str">
        <f t="shared" si="119"/>
        <v>女</v>
      </c>
      <c r="H508" s="6" t="str">
        <f>"1998-07-05"</f>
        <v>1998-07-05</v>
      </c>
      <c r="I508" s="6"/>
    </row>
    <row r="509" s="1" customFormat="1" ht="30" customHeight="1" spans="1:9">
      <c r="A509" s="6">
        <v>507</v>
      </c>
      <c r="B509" s="6" t="str">
        <f>"48712023020300034919584"</f>
        <v>48712023020300034919584</v>
      </c>
      <c r="C509" s="6" t="str">
        <f t="shared" si="116"/>
        <v>0201</v>
      </c>
      <c r="D509" s="6" t="s">
        <v>12</v>
      </c>
      <c r="E509" s="6" t="s">
        <v>13</v>
      </c>
      <c r="F509" s="6" t="str">
        <f>"刘晓茜"</f>
        <v>刘晓茜</v>
      </c>
      <c r="G509" s="6" t="str">
        <f t="shared" si="119"/>
        <v>女</v>
      </c>
      <c r="H509" s="6" t="str">
        <f>"1999-10-01"</f>
        <v>1999-10-01</v>
      </c>
      <c r="I509" s="6"/>
    </row>
    <row r="510" s="1" customFormat="1" ht="30" customHeight="1" spans="1:9">
      <c r="A510" s="6">
        <v>508</v>
      </c>
      <c r="B510" s="6" t="str">
        <f>"48712023020306322619645"</f>
        <v>48712023020306322619645</v>
      </c>
      <c r="C510" s="6" t="str">
        <f t="shared" si="116"/>
        <v>0201</v>
      </c>
      <c r="D510" s="6" t="s">
        <v>12</v>
      </c>
      <c r="E510" s="6" t="s">
        <v>13</v>
      </c>
      <c r="F510" s="6" t="str">
        <f>"池芳留"</f>
        <v>池芳留</v>
      </c>
      <c r="G510" s="6" t="str">
        <f t="shared" si="119"/>
        <v>女</v>
      </c>
      <c r="H510" s="6" t="str">
        <f>"1992-07-02"</f>
        <v>1992-07-02</v>
      </c>
      <c r="I510" s="6"/>
    </row>
    <row r="511" s="1" customFormat="1" ht="30" customHeight="1" spans="1:9">
      <c r="A511" s="6">
        <v>509</v>
      </c>
      <c r="B511" s="6" t="str">
        <f>"48712023020308340019659"</f>
        <v>48712023020308340019659</v>
      </c>
      <c r="C511" s="6" t="str">
        <f t="shared" si="116"/>
        <v>0201</v>
      </c>
      <c r="D511" s="6" t="s">
        <v>12</v>
      </c>
      <c r="E511" s="6" t="s">
        <v>13</v>
      </c>
      <c r="F511" s="6" t="str">
        <f>"曾琪珑"</f>
        <v>曾琪珑</v>
      </c>
      <c r="G511" s="6" t="str">
        <f>"男"</f>
        <v>男</v>
      </c>
      <c r="H511" s="6" t="str">
        <f>"1992-09-30"</f>
        <v>1992-09-30</v>
      </c>
      <c r="I511" s="6"/>
    </row>
    <row r="512" s="1" customFormat="1" ht="30" customHeight="1" spans="1:9">
      <c r="A512" s="6">
        <v>510</v>
      </c>
      <c r="B512" s="6" t="str">
        <f>"48712023020309172519731"</f>
        <v>48712023020309172519731</v>
      </c>
      <c r="C512" s="6" t="str">
        <f t="shared" si="116"/>
        <v>0201</v>
      </c>
      <c r="D512" s="6" t="s">
        <v>12</v>
      </c>
      <c r="E512" s="6" t="s">
        <v>13</v>
      </c>
      <c r="F512" s="6" t="str">
        <f>"袁旺婷"</f>
        <v>袁旺婷</v>
      </c>
      <c r="G512" s="6" t="str">
        <f t="shared" ref="G512:G518" si="120">"女"</f>
        <v>女</v>
      </c>
      <c r="H512" s="6" t="str">
        <f>"1991-12-07"</f>
        <v>1991-12-07</v>
      </c>
      <c r="I512" s="6"/>
    </row>
    <row r="513" s="1" customFormat="1" ht="30" customHeight="1" spans="1:9">
      <c r="A513" s="6">
        <v>511</v>
      </c>
      <c r="B513" s="6" t="str">
        <f>"48712023020311213520017"</f>
        <v>48712023020311213520017</v>
      </c>
      <c r="C513" s="6" t="str">
        <f t="shared" si="116"/>
        <v>0201</v>
      </c>
      <c r="D513" s="6" t="s">
        <v>12</v>
      </c>
      <c r="E513" s="6" t="s">
        <v>13</v>
      </c>
      <c r="F513" s="6" t="str">
        <f>"吴卓文"</f>
        <v>吴卓文</v>
      </c>
      <c r="G513" s="6" t="str">
        <f>"男"</f>
        <v>男</v>
      </c>
      <c r="H513" s="6" t="str">
        <f>"1991-08-19"</f>
        <v>1991-08-19</v>
      </c>
      <c r="I513" s="6"/>
    </row>
    <row r="514" s="1" customFormat="1" ht="30" customHeight="1" spans="1:9">
      <c r="A514" s="6">
        <v>512</v>
      </c>
      <c r="B514" s="6" t="str">
        <f>"48712023020311412420076"</f>
        <v>48712023020311412420076</v>
      </c>
      <c r="C514" s="6" t="str">
        <f t="shared" si="116"/>
        <v>0201</v>
      </c>
      <c r="D514" s="6" t="s">
        <v>12</v>
      </c>
      <c r="E514" s="6" t="s">
        <v>13</v>
      </c>
      <c r="F514" s="6" t="str">
        <f>"邓家映"</f>
        <v>邓家映</v>
      </c>
      <c r="G514" s="6" t="str">
        <f t="shared" si="120"/>
        <v>女</v>
      </c>
      <c r="H514" s="6" t="str">
        <f>"1992-10-25"</f>
        <v>1992-10-25</v>
      </c>
      <c r="I514" s="6"/>
    </row>
    <row r="515" s="1" customFormat="1" ht="30" customHeight="1" spans="1:9">
      <c r="A515" s="6">
        <v>513</v>
      </c>
      <c r="B515" s="6" t="str">
        <f>"48712023020311583520115"</f>
        <v>48712023020311583520115</v>
      </c>
      <c r="C515" s="6" t="str">
        <f t="shared" si="116"/>
        <v>0201</v>
      </c>
      <c r="D515" s="6" t="s">
        <v>12</v>
      </c>
      <c r="E515" s="6" t="s">
        <v>13</v>
      </c>
      <c r="F515" s="6" t="str">
        <f>"符慧娟"</f>
        <v>符慧娟</v>
      </c>
      <c r="G515" s="6" t="str">
        <f t="shared" si="120"/>
        <v>女</v>
      </c>
      <c r="H515" s="6" t="str">
        <f>"1989-09-26"</f>
        <v>1989-09-26</v>
      </c>
      <c r="I515" s="6"/>
    </row>
    <row r="516" s="1" customFormat="1" ht="30" customHeight="1" spans="1:9">
      <c r="A516" s="6">
        <v>514</v>
      </c>
      <c r="B516" s="6" t="str">
        <f>"48712023020313030320233"</f>
        <v>48712023020313030320233</v>
      </c>
      <c r="C516" s="6" t="str">
        <f t="shared" si="116"/>
        <v>0201</v>
      </c>
      <c r="D516" s="6" t="s">
        <v>12</v>
      </c>
      <c r="E516" s="6" t="s">
        <v>13</v>
      </c>
      <c r="F516" s="6" t="str">
        <f>"王红棉"</f>
        <v>王红棉</v>
      </c>
      <c r="G516" s="6" t="str">
        <f t="shared" si="120"/>
        <v>女</v>
      </c>
      <c r="H516" s="6" t="str">
        <f>"1997-02-26"</f>
        <v>1997-02-26</v>
      </c>
      <c r="I516" s="6"/>
    </row>
    <row r="517" s="1" customFormat="1" ht="30" customHeight="1" spans="1:9">
      <c r="A517" s="6">
        <v>515</v>
      </c>
      <c r="B517" s="6" t="str">
        <f>"48712023020313103620246"</f>
        <v>48712023020313103620246</v>
      </c>
      <c r="C517" s="6" t="str">
        <f t="shared" si="116"/>
        <v>0201</v>
      </c>
      <c r="D517" s="6" t="s">
        <v>12</v>
      </c>
      <c r="E517" s="6" t="s">
        <v>13</v>
      </c>
      <c r="F517" s="6" t="str">
        <f>"陈泽冬"</f>
        <v>陈泽冬</v>
      </c>
      <c r="G517" s="6" t="str">
        <f t="shared" si="120"/>
        <v>女</v>
      </c>
      <c r="H517" s="6" t="str">
        <f>"1997-10-20"</f>
        <v>1997-10-20</v>
      </c>
      <c r="I517" s="6"/>
    </row>
    <row r="518" s="1" customFormat="1" ht="30" customHeight="1" spans="1:9">
      <c r="A518" s="6">
        <v>516</v>
      </c>
      <c r="B518" s="6" t="str">
        <f>"48712023020313181420260"</f>
        <v>48712023020313181420260</v>
      </c>
      <c r="C518" s="6" t="str">
        <f t="shared" si="116"/>
        <v>0201</v>
      </c>
      <c r="D518" s="6" t="s">
        <v>12</v>
      </c>
      <c r="E518" s="6" t="s">
        <v>13</v>
      </c>
      <c r="F518" s="6" t="str">
        <f>"黎娇醉"</f>
        <v>黎娇醉</v>
      </c>
      <c r="G518" s="6" t="str">
        <f t="shared" si="120"/>
        <v>女</v>
      </c>
      <c r="H518" s="6" t="str">
        <f>"1996-11-18"</f>
        <v>1996-11-18</v>
      </c>
      <c r="I518" s="6"/>
    </row>
    <row r="519" s="1" customFormat="1" ht="30" customHeight="1" spans="1:9">
      <c r="A519" s="6">
        <v>517</v>
      </c>
      <c r="B519" s="6" t="str">
        <f>"48712023020313342020293"</f>
        <v>48712023020313342020293</v>
      </c>
      <c r="C519" s="6" t="str">
        <f t="shared" si="116"/>
        <v>0201</v>
      </c>
      <c r="D519" s="6" t="s">
        <v>12</v>
      </c>
      <c r="E519" s="6" t="s">
        <v>13</v>
      </c>
      <c r="F519" s="6" t="str">
        <f>"陈圻金"</f>
        <v>陈圻金</v>
      </c>
      <c r="G519" s="6" t="str">
        <f t="shared" ref="G519:G524" si="121">"男"</f>
        <v>男</v>
      </c>
      <c r="H519" s="6" t="str">
        <f>"1997-09-16"</f>
        <v>1997-09-16</v>
      </c>
      <c r="I519" s="6"/>
    </row>
    <row r="520" s="1" customFormat="1" ht="30" customHeight="1" spans="1:9">
      <c r="A520" s="6">
        <v>518</v>
      </c>
      <c r="B520" s="6" t="str">
        <f>"48712023020313391220302"</f>
        <v>48712023020313391220302</v>
      </c>
      <c r="C520" s="6" t="str">
        <f t="shared" si="116"/>
        <v>0201</v>
      </c>
      <c r="D520" s="6" t="s">
        <v>12</v>
      </c>
      <c r="E520" s="6" t="s">
        <v>13</v>
      </c>
      <c r="F520" s="6" t="str">
        <f>"邓正虹"</f>
        <v>邓正虹</v>
      </c>
      <c r="G520" s="6" t="str">
        <f t="shared" ref="G520:G523" si="122">"女"</f>
        <v>女</v>
      </c>
      <c r="H520" s="6" t="str">
        <f>"1993-11-02"</f>
        <v>1993-11-02</v>
      </c>
      <c r="I520" s="6"/>
    </row>
    <row r="521" s="1" customFormat="1" ht="30" customHeight="1" spans="1:9">
      <c r="A521" s="6">
        <v>519</v>
      </c>
      <c r="B521" s="6" t="str">
        <f>"48712023020314080920349"</f>
        <v>48712023020314080920349</v>
      </c>
      <c r="C521" s="6" t="str">
        <f t="shared" si="116"/>
        <v>0201</v>
      </c>
      <c r="D521" s="6" t="s">
        <v>12</v>
      </c>
      <c r="E521" s="6" t="s">
        <v>13</v>
      </c>
      <c r="F521" s="6" t="str">
        <f>"于涵"</f>
        <v>于涵</v>
      </c>
      <c r="G521" s="6" t="str">
        <f t="shared" si="121"/>
        <v>男</v>
      </c>
      <c r="H521" s="6" t="str">
        <f>"1998-08-29"</f>
        <v>1998-08-29</v>
      </c>
      <c r="I521" s="6"/>
    </row>
    <row r="522" s="1" customFormat="1" ht="30" customHeight="1" spans="1:9">
      <c r="A522" s="6">
        <v>520</v>
      </c>
      <c r="B522" s="6" t="str">
        <f>"48712023020314410720403"</f>
        <v>48712023020314410720403</v>
      </c>
      <c r="C522" s="6" t="str">
        <f t="shared" si="116"/>
        <v>0201</v>
      </c>
      <c r="D522" s="6" t="s">
        <v>12</v>
      </c>
      <c r="E522" s="6" t="s">
        <v>13</v>
      </c>
      <c r="F522" s="6" t="str">
        <f>"陈会宾"</f>
        <v>陈会宾</v>
      </c>
      <c r="G522" s="6" t="str">
        <f t="shared" si="122"/>
        <v>女</v>
      </c>
      <c r="H522" s="6" t="str">
        <f>"1993-04-10"</f>
        <v>1993-04-10</v>
      </c>
      <c r="I522" s="6"/>
    </row>
    <row r="523" s="1" customFormat="1" ht="30" customHeight="1" spans="1:9">
      <c r="A523" s="6">
        <v>521</v>
      </c>
      <c r="B523" s="6" t="str">
        <f>"48712023020315163920474"</f>
        <v>48712023020315163920474</v>
      </c>
      <c r="C523" s="6" t="str">
        <f t="shared" si="116"/>
        <v>0201</v>
      </c>
      <c r="D523" s="6" t="s">
        <v>12</v>
      </c>
      <c r="E523" s="6" t="s">
        <v>13</v>
      </c>
      <c r="F523" s="6" t="str">
        <f>"谭玲"</f>
        <v>谭玲</v>
      </c>
      <c r="G523" s="6" t="str">
        <f t="shared" si="122"/>
        <v>女</v>
      </c>
      <c r="H523" s="6" t="str">
        <f>"1996-03-31"</f>
        <v>1996-03-31</v>
      </c>
      <c r="I523" s="6"/>
    </row>
    <row r="524" s="1" customFormat="1" ht="30" customHeight="1" spans="1:9">
      <c r="A524" s="6">
        <v>522</v>
      </c>
      <c r="B524" s="6" t="str">
        <f>"48712023020315524320547"</f>
        <v>48712023020315524320547</v>
      </c>
      <c r="C524" s="6" t="str">
        <f t="shared" si="116"/>
        <v>0201</v>
      </c>
      <c r="D524" s="6" t="s">
        <v>12</v>
      </c>
      <c r="E524" s="6" t="s">
        <v>13</v>
      </c>
      <c r="F524" s="6" t="str">
        <f>"刘国威"</f>
        <v>刘国威</v>
      </c>
      <c r="G524" s="6" t="str">
        <f t="shared" si="121"/>
        <v>男</v>
      </c>
      <c r="H524" s="6" t="str">
        <f>"1994-10-24"</f>
        <v>1994-10-24</v>
      </c>
      <c r="I524" s="6"/>
    </row>
    <row r="525" s="1" customFormat="1" ht="30" customHeight="1" spans="1:9">
      <c r="A525" s="6">
        <v>523</v>
      </c>
      <c r="B525" s="6" t="str">
        <f>"48712023020316133220593"</f>
        <v>48712023020316133220593</v>
      </c>
      <c r="C525" s="6" t="str">
        <f t="shared" si="116"/>
        <v>0201</v>
      </c>
      <c r="D525" s="6" t="s">
        <v>12</v>
      </c>
      <c r="E525" s="6" t="s">
        <v>13</v>
      </c>
      <c r="F525" s="6" t="str">
        <f>"陈国叶"</f>
        <v>陈国叶</v>
      </c>
      <c r="G525" s="6" t="str">
        <f t="shared" ref="G525:G528" si="123">"女"</f>
        <v>女</v>
      </c>
      <c r="H525" s="6" t="str">
        <f>"1997-08-12"</f>
        <v>1997-08-12</v>
      </c>
      <c r="I525" s="6"/>
    </row>
    <row r="526" s="1" customFormat="1" ht="30" customHeight="1" spans="1:9">
      <c r="A526" s="6">
        <v>524</v>
      </c>
      <c r="B526" s="6" t="str">
        <f>"48712023020316135620595"</f>
        <v>48712023020316135620595</v>
      </c>
      <c r="C526" s="6" t="str">
        <f t="shared" si="116"/>
        <v>0201</v>
      </c>
      <c r="D526" s="6" t="s">
        <v>12</v>
      </c>
      <c r="E526" s="6" t="s">
        <v>13</v>
      </c>
      <c r="F526" s="6" t="str">
        <f>"林嘉颖"</f>
        <v>林嘉颖</v>
      </c>
      <c r="G526" s="6" t="str">
        <f t="shared" si="123"/>
        <v>女</v>
      </c>
      <c r="H526" s="6" t="str">
        <f>"1997-08-08"</f>
        <v>1997-08-08</v>
      </c>
      <c r="I526" s="6"/>
    </row>
    <row r="527" s="1" customFormat="1" ht="30" customHeight="1" spans="1:9">
      <c r="A527" s="6">
        <v>525</v>
      </c>
      <c r="B527" s="6" t="str">
        <f>"48712023020316151220599"</f>
        <v>48712023020316151220599</v>
      </c>
      <c r="C527" s="6" t="str">
        <f t="shared" si="116"/>
        <v>0201</v>
      </c>
      <c r="D527" s="6" t="s">
        <v>12</v>
      </c>
      <c r="E527" s="6" t="s">
        <v>13</v>
      </c>
      <c r="F527" s="6" t="str">
        <f>"陈少珠"</f>
        <v>陈少珠</v>
      </c>
      <c r="G527" s="6" t="str">
        <f t="shared" si="123"/>
        <v>女</v>
      </c>
      <c r="H527" s="6" t="str">
        <f>"1997-03-07"</f>
        <v>1997-03-07</v>
      </c>
      <c r="I527" s="6"/>
    </row>
    <row r="528" s="1" customFormat="1" ht="30" customHeight="1" spans="1:9">
      <c r="A528" s="6">
        <v>526</v>
      </c>
      <c r="B528" s="6" t="str">
        <f>"48712023020316255920633"</f>
        <v>48712023020316255920633</v>
      </c>
      <c r="C528" s="6" t="str">
        <f t="shared" si="116"/>
        <v>0201</v>
      </c>
      <c r="D528" s="6" t="s">
        <v>12</v>
      </c>
      <c r="E528" s="6" t="s">
        <v>13</v>
      </c>
      <c r="F528" s="6" t="str">
        <f>"姚雪琪"</f>
        <v>姚雪琪</v>
      </c>
      <c r="G528" s="6" t="str">
        <f t="shared" si="123"/>
        <v>女</v>
      </c>
      <c r="H528" s="6" t="str">
        <f>"1999-02-09"</f>
        <v>1999-02-09</v>
      </c>
      <c r="I528" s="6"/>
    </row>
    <row r="529" s="1" customFormat="1" ht="30" customHeight="1" spans="1:9">
      <c r="A529" s="6">
        <v>527</v>
      </c>
      <c r="B529" s="6" t="str">
        <f>"48712023020316282620639"</f>
        <v>48712023020316282620639</v>
      </c>
      <c r="C529" s="6" t="str">
        <f t="shared" si="116"/>
        <v>0201</v>
      </c>
      <c r="D529" s="6" t="s">
        <v>12</v>
      </c>
      <c r="E529" s="6" t="s">
        <v>13</v>
      </c>
      <c r="F529" s="6" t="str">
        <f>"郭俊杰"</f>
        <v>郭俊杰</v>
      </c>
      <c r="G529" s="6" t="str">
        <f t="shared" ref="G529:G534" si="124">"男"</f>
        <v>男</v>
      </c>
      <c r="H529" s="6" t="str">
        <f>"1996-10-15"</f>
        <v>1996-10-15</v>
      </c>
      <c r="I529" s="6"/>
    </row>
    <row r="530" s="1" customFormat="1" ht="30" customHeight="1" spans="1:9">
      <c r="A530" s="6">
        <v>528</v>
      </c>
      <c r="B530" s="6" t="str">
        <f>"48712023020317281020767"</f>
        <v>48712023020317281020767</v>
      </c>
      <c r="C530" s="6" t="str">
        <f t="shared" si="116"/>
        <v>0201</v>
      </c>
      <c r="D530" s="6" t="s">
        <v>12</v>
      </c>
      <c r="E530" s="6" t="s">
        <v>13</v>
      </c>
      <c r="F530" s="6" t="str">
        <f>"李林烨"</f>
        <v>李林烨</v>
      </c>
      <c r="G530" s="6" t="str">
        <f t="shared" ref="G530:G533" si="125">"女"</f>
        <v>女</v>
      </c>
      <c r="H530" s="6" t="str">
        <f>"1996-11-26"</f>
        <v>1996-11-26</v>
      </c>
      <c r="I530" s="6"/>
    </row>
    <row r="531" s="1" customFormat="1" ht="30" customHeight="1" spans="1:9">
      <c r="A531" s="6">
        <v>529</v>
      </c>
      <c r="B531" s="6" t="str">
        <f>"48712023020318200420850"</f>
        <v>48712023020318200420850</v>
      </c>
      <c r="C531" s="6" t="str">
        <f t="shared" si="116"/>
        <v>0201</v>
      </c>
      <c r="D531" s="6" t="s">
        <v>12</v>
      </c>
      <c r="E531" s="6" t="s">
        <v>13</v>
      </c>
      <c r="F531" s="6" t="str">
        <f>"余明矗"</f>
        <v>余明矗</v>
      </c>
      <c r="G531" s="6" t="str">
        <f t="shared" si="124"/>
        <v>男</v>
      </c>
      <c r="H531" s="6" t="str">
        <f>"2000-08-16"</f>
        <v>2000-08-16</v>
      </c>
      <c r="I531" s="6"/>
    </row>
    <row r="532" s="1" customFormat="1" ht="30" customHeight="1" spans="1:9">
      <c r="A532" s="6">
        <v>530</v>
      </c>
      <c r="B532" s="6" t="str">
        <f>"48712023020318213820852"</f>
        <v>48712023020318213820852</v>
      </c>
      <c r="C532" s="6" t="str">
        <f t="shared" si="116"/>
        <v>0201</v>
      </c>
      <c r="D532" s="6" t="s">
        <v>12</v>
      </c>
      <c r="E532" s="6" t="s">
        <v>13</v>
      </c>
      <c r="F532" s="6" t="str">
        <f>"李曼玉"</f>
        <v>李曼玉</v>
      </c>
      <c r="G532" s="6" t="str">
        <f t="shared" si="125"/>
        <v>女</v>
      </c>
      <c r="H532" s="6" t="str">
        <f>"1998-04-06"</f>
        <v>1998-04-06</v>
      </c>
      <c r="I532" s="6"/>
    </row>
    <row r="533" s="1" customFormat="1" ht="30" customHeight="1" spans="1:9">
      <c r="A533" s="6">
        <v>531</v>
      </c>
      <c r="B533" s="6" t="str">
        <f>"48712023020319322220933"</f>
        <v>48712023020319322220933</v>
      </c>
      <c r="C533" s="6" t="str">
        <f t="shared" si="116"/>
        <v>0201</v>
      </c>
      <c r="D533" s="6" t="s">
        <v>12</v>
      </c>
      <c r="E533" s="6" t="s">
        <v>13</v>
      </c>
      <c r="F533" s="6" t="str">
        <f>"龙雨帆"</f>
        <v>龙雨帆</v>
      </c>
      <c r="G533" s="6" t="str">
        <f t="shared" si="125"/>
        <v>女</v>
      </c>
      <c r="H533" s="6" t="str">
        <f>"1992-10-30"</f>
        <v>1992-10-30</v>
      </c>
      <c r="I533" s="6"/>
    </row>
    <row r="534" s="1" customFormat="1" ht="30" customHeight="1" spans="1:9">
      <c r="A534" s="6">
        <v>532</v>
      </c>
      <c r="B534" s="6" t="str">
        <f>"48712023020321363421175"</f>
        <v>48712023020321363421175</v>
      </c>
      <c r="C534" s="6" t="str">
        <f t="shared" si="116"/>
        <v>0201</v>
      </c>
      <c r="D534" s="6" t="s">
        <v>12</v>
      </c>
      <c r="E534" s="6" t="s">
        <v>13</v>
      </c>
      <c r="F534" s="6" t="str">
        <f>"李天培"</f>
        <v>李天培</v>
      </c>
      <c r="G534" s="6" t="str">
        <f t="shared" si="124"/>
        <v>男</v>
      </c>
      <c r="H534" s="6" t="str">
        <f>"1998-10-18"</f>
        <v>1998-10-18</v>
      </c>
      <c r="I534" s="6"/>
    </row>
    <row r="535" s="1" customFormat="1" ht="30" customHeight="1" spans="1:9">
      <c r="A535" s="6">
        <v>533</v>
      </c>
      <c r="B535" s="6" t="str">
        <f>"48712023020400205521440"</f>
        <v>48712023020400205521440</v>
      </c>
      <c r="C535" s="6" t="str">
        <f t="shared" si="116"/>
        <v>0201</v>
      </c>
      <c r="D535" s="6" t="s">
        <v>12</v>
      </c>
      <c r="E535" s="6" t="s">
        <v>13</v>
      </c>
      <c r="F535" s="6" t="str">
        <f>"谢亚丽"</f>
        <v>谢亚丽</v>
      </c>
      <c r="G535" s="6" t="str">
        <f t="shared" ref="G535:G545" si="126">"女"</f>
        <v>女</v>
      </c>
      <c r="H535" s="6" t="str">
        <f>"1995-07-20"</f>
        <v>1995-07-20</v>
      </c>
      <c r="I535" s="6"/>
    </row>
    <row r="536" s="1" customFormat="1" ht="30" customHeight="1" spans="1:9">
      <c r="A536" s="6">
        <v>534</v>
      </c>
      <c r="B536" s="6" t="str">
        <f>"48712023020401193521459"</f>
        <v>48712023020401193521459</v>
      </c>
      <c r="C536" s="6" t="str">
        <f t="shared" si="116"/>
        <v>0201</v>
      </c>
      <c r="D536" s="6" t="s">
        <v>12</v>
      </c>
      <c r="E536" s="6" t="s">
        <v>13</v>
      </c>
      <c r="F536" s="6" t="str">
        <f>"陈焜"</f>
        <v>陈焜</v>
      </c>
      <c r="G536" s="6" t="str">
        <f t="shared" si="126"/>
        <v>女</v>
      </c>
      <c r="H536" s="6" t="str">
        <f>"1992-10-25"</f>
        <v>1992-10-25</v>
      </c>
      <c r="I536" s="6"/>
    </row>
    <row r="537" s="1" customFormat="1" ht="30" customHeight="1" spans="1:9">
      <c r="A537" s="6">
        <v>535</v>
      </c>
      <c r="B537" s="6" t="str">
        <f>"48712023020408452821498"</f>
        <v>48712023020408452821498</v>
      </c>
      <c r="C537" s="6" t="str">
        <f t="shared" si="116"/>
        <v>0201</v>
      </c>
      <c r="D537" s="6" t="s">
        <v>12</v>
      </c>
      <c r="E537" s="6" t="s">
        <v>13</v>
      </c>
      <c r="F537" s="6" t="str">
        <f>"张丹容"</f>
        <v>张丹容</v>
      </c>
      <c r="G537" s="6" t="str">
        <f t="shared" si="126"/>
        <v>女</v>
      </c>
      <c r="H537" s="6" t="str">
        <f>"1993-10-02"</f>
        <v>1993-10-02</v>
      </c>
      <c r="I537" s="6"/>
    </row>
    <row r="538" s="1" customFormat="1" ht="30" customHeight="1" spans="1:9">
      <c r="A538" s="6">
        <v>536</v>
      </c>
      <c r="B538" s="6" t="str">
        <f>"48712023020410312021624"</f>
        <v>48712023020410312021624</v>
      </c>
      <c r="C538" s="6" t="str">
        <f t="shared" si="116"/>
        <v>0201</v>
      </c>
      <c r="D538" s="6" t="s">
        <v>12</v>
      </c>
      <c r="E538" s="6" t="s">
        <v>13</v>
      </c>
      <c r="F538" s="6" t="str">
        <f>"蒲燕子"</f>
        <v>蒲燕子</v>
      </c>
      <c r="G538" s="6" t="str">
        <f t="shared" si="126"/>
        <v>女</v>
      </c>
      <c r="H538" s="6" t="str">
        <f>"2001-09-15"</f>
        <v>2001-09-15</v>
      </c>
      <c r="I538" s="6"/>
    </row>
    <row r="539" s="1" customFormat="1" ht="30" customHeight="1" spans="1:9">
      <c r="A539" s="6">
        <v>537</v>
      </c>
      <c r="B539" s="6" t="str">
        <f>"48712023020411475321751"</f>
        <v>48712023020411475321751</v>
      </c>
      <c r="C539" s="6" t="str">
        <f t="shared" si="116"/>
        <v>0201</v>
      </c>
      <c r="D539" s="6" t="s">
        <v>12</v>
      </c>
      <c r="E539" s="6" t="s">
        <v>13</v>
      </c>
      <c r="F539" s="6" t="str">
        <f>"陈红帆"</f>
        <v>陈红帆</v>
      </c>
      <c r="G539" s="6" t="str">
        <f t="shared" si="126"/>
        <v>女</v>
      </c>
      <c r="H539" s="6" t="str">
        <f>"1996-04-08"</f>
        <v>1996-04-08</v>
      </c>
      <c r="I539" s="6"/>
    </row>
    <row r="540" s="1" customFormat="1" ht="30" customHeight="1" spans="1:9">
      <c r="A540" s="6">
        <v>538</v>
      </c>
      <c r="B540" s="6" t="str">
        <f>"48712023020411493521753"</f>
        <v>48712023020411493521753</v>
      </c>
      <c r="C540" s="6" t="str">
        <f t="shared" si="116"/>
        <v>0201</v>
      </c>
      <c r="D540" s="6" t="s">
        <v>12</v>
      </c>
      <c r="E540" s="6" t="s">
        <v>13</v>
      </c>
      <c r="F540" s="6" t="str">
        <f>"花航"</f>
        <v>花航</v>
      </c>
      <c r="G540" s="6" t="str">
        <f t="shared" si="126"/>
        <v>女</v>
      </c>
      <c r="H540" s="6" t="str">
        <f>"1990-03-10"</f>
        <v>1990-03-10</v>
      </c>
      <c r="I540" s="6"/>
    </row>
    <row r="541" s="1" customFormat="1" ht="30" customHeight="1" spans="1:9">
      <c r="A541" s="6">
        <v>539</v>
      </c>
      <c r="B541" s="6" t="str">
        <f>"48712023020412243621795"</f>
        <v>48712023020412243621795</v>
      </c>
      <c r="C541" s="6" t="str">
        <f t="shared" si="116"/>
        <v>0201</v>
      </c>
      <c r="D541" s="6" t="s">
        <v>12</v>
      </c>
      <c r="E541" s="6" t="s">
        <v>13</v>
      </c>
      <c r="F541" s="6" t="str">
        <f>"陈菊菊"</f>
        <v>陈菊菊</v>
      </c>
      <c r="G541" s="6" t="str">
        <f t="shared" si="126"/>
        <v>女</v>
      </c>
      <c r="H541" s="6" t="str">
        <f>"1997-09-05"</f>
        <v>1997-09-05</v>
      </c>
      <c r="I541" s="6"/>
    </row>
    <row r="542" s="1" customFormat="1" ht="30" customHeight="1" spans="1:9">
      <c r="A542" s="6">
        <v>540</v>
      </c>
      <c r="B542" s="6" t="str">
        <f>"48712023020412305321802"</f>
        <v>48712023020412305321802</v>
      </c>
      <c r="C542" s="6" t="str">
        <f t="shared" si="116"/>
        <v>0201</v>
      </c>
      <c r="D542" s="6" t="s">
        <v>12</v>
      </c>
      <c r="E542" s="6" t="s">
        <v>13</v>
      </c>
      <c r="F542" s="6" t="str">
        <f>"林秀慧"</f>
        <v>林秀慧</v>
      </c>
      <c r="G542" s="6" t="str">
        <f t="shared" si="126"/>
        <v>女</v>
      </c>
      <c r="H542" s="6" t="str">
        <f>"1992-12-20"</f>
        <v>1992-12-20</v>
      </c>
      <c r="I542" s="6"/>
    </row>
    <row r="543" s="1" customFormat="1" ht="30" customHeight="1" spans="1:9">
      <c r="A543" s="6">
        <v>541</v>
      </c>
      <c r="B543" s="6" t="str">
        <f>"48712023020413311721877"</f>
        <v>48712023020413311721877</v>
      </c>
      <c r="C543" s="6" t="str">
        <f t="shared" si="116"/>
        <v>0201</v>
      </c>
      <c r="D543" s="6" t="s">
        <v>12</v>
      </c>
      <c r="E543" s="6" t="s">
        <v>13</v>
      </c>
      <c r="F543" s="6" t="str">
        <f>"杨小婵"</f>
        <v>杨小婵</v>
      </c>
      <c r="G543" s="6" t="str">
        <f t="shared" si="126"/>
        <v>女</v>
      </c>
      <c r="H543" s="6" t="str">
        <f>"1990-06-27"</f>
        <v>1990-06-27</v>
      </c>
      <c r="I543" s="6"/>
    </row>
    <row r="544" s="1" customFormat="1" ht="30" customHeight="1" spans="1:9">
      <c r="A544" s="6">
        <v>542</v>
      </c>
      <c r="B544" s="6" t="str">
        <f>"48712023020413561921920"</f>
        <v>48712023020413561921920</v>
      </c>
      <c r="C544" s="6" t="str">
        <f t="shared" si="116"/>
        <v>0201</v>
      </c>
      <c r="D544" s="6" t="s">
        <v>12</v>
      </c>
      <c r="E544" s="6" t="s">
        <v>13</v>
      </c>
      <c r="F544" s="6" t="str">
        <f>"曾虹"</f>
        <v>曾虹</v>
      </c>
      <c r="G544" s="6" t="str">
        <f t="shared" si="126"/>
        <v>女</v>
      </c>
      <c r="H544" s="6" t="str">
        <f>"1993-06-18"</f>
        <v>1993-06-18</v>
      </c>
      <c r="I544" s="6"/>
    </row>
    <row r="545" s="1" customFormat="1" ht="30" customHeight="1" spans="1:9">
      <c r="A545" s="6">
        <v>543</v>
      </c>
      <c r="B545" s="6" t="str">
        <f>"48712023020415023822022"</f>
        <v>48712023020415023822022</v>
      </c>
      <c r="C545" s="6" t="str">
        <f t="shared" si="116"/>
        <v>0201</v>
      </c>
      <c r="D545" s="6" t="s">
        <v>12</v>
      </c>
      <c r="E545" s="6" t="s">
        <v>13</v>
      </c>
      <c r="F545" s="6" t="str">
        <f>"匡亚萍"</f>
        <v>匡亚萍</v>
      </c>
      <c r="G545" s="6" t="str">
        <f t="shared" si="126"/>
        <v>女</v>
      </c>
      <c r="H545" s="6" t="str">
        <f>"1991-12-25"</f>
        <v>1991-12-25</v>
      </c>
      <c r="I545" s="6"/>
    </row>
    <row r="546" s="1" customFormat="1" ht="30" customHeight="1" spans="1:9">
      <c r="A546" s="6">
        <v>544</v>
      </c>
      <c r="B546" s="6" t="str">
        <f>"48712023020416394422186"</f>
        <v>48712023020416394422186</v>
      </c>
      <c r="C546" s="6" t="str">
        <f t="shared" si="116"/>
        <v>0201</v>
      </c>
      <c r="D546" s="6" t="s">
        <v>12</v>
      </c>
      <c r="E546" s="6" t="s">
        <v>13</v>
      </c>
      <c r="F546" s="6" t="str">
        <f>"麦贻念"</f>
        <v>麦贻念</v>
      </c>
      <c r="G546" s="6" t="str">
        <f>"男"</f>
        <v>男</v>
      </c>
      <c r="H546" s="6" t="str">
        <f>"1995-08-09"</f>
        <v>1995-08-09</v>
      </c>
      <c r="I546" s="6"/>
    </row>
    <row r="547" s="1" customFormat="1" ht="30" customHeight="1" spans="1:9">
      <c r="A547" s="6">
        <v>545</v>
      </c>
      <c r="B547" s="6" t="str">
        <f>"48712023020416422422191"</f>
        <v>48712023020416422422191</v>
      </c>
      <c r="C547" s="6" t="str">
        <f t="shared" si="116"/>
        <v>0201</v>
      </c>
      <c r="D547" s="6" t="s">
        <v>12</v>
      </c>
      <c r="E547" s="6" t="s">
        <v>13</v>
      </c>
      <c r="F547" s="6" t="str">
        <f>"刘臻"</f>
        <v>刘臻</v>
      </c>
      <c r="G547" s="6" t="str">
        <f t="shared" ref="G547:G550" si="127">"女"</f>
        <v>女</v>
      </c>
      <c r="H547" s="6" t="str">
        <f>"1999-04-04"</f>
        <v>1999-04-04</v>
      </c>
      <c r="I547" s="6"/>
    </row>
    <row r="548" s="1" customFormat="1" ht="30" customHeight="1" spans="1:9">
      <c r="A548" s="6">
        <v>546</v>
      </c>
      <c r="B548" s="6" t="str">
        <f>"48712023020417461922299"</f>
        <v>48712023020417461922299</v>
      </c>
      <c r="C548" s="6" t="str">
        <f t="shared" si="116"/>
        <v>0201</v>
      </c>
      <c r="D548" s="6" t="s">
        <v>12</v>
      </c>
      <c r="E548" s="6" t="s">
        <v>13</v>
      </c>
      <c r="F548" s="6" t="str">
        <f>"吴安琪"</f>
        <v>吴安琪</v>
      </c>
      <c r="G548" s="6" t="str">
        <f t="shared" si="127"/>
        <v>女</v>
      </c>
      <c r="H548" s="6" t="str">
        <f>"1999-03-16"</f>
        <v>1999-03-16</v>
      </c>
      <c r="I548" s="6"/>
    </row>
    <row r="549" s="1" customFormat="1" ht="30" customHeight="1" spans="1:9">
      <c r="A549" s="6">
        <v>547</v>
      </c>
      <c r="B549" s="6" t="str">
        <f>"48712023020420463622560"</f>
        <v>48712023020420463622560</v>
      </c>
      <c r="C549" s="6" t="str">
        <f t="shared" si="116"/>
        <v>0201</v>
      </c>
      <c r="D549" s="6" t="s">
        <v>12</v>
      </c>
      <c r="E549" s="6" t="s">
        <v>13</v>
      </c>
      <c r="F549" s="6" t="str">
        <f>"陈洁"</f>
        <v>陈洁</v>
      </c>
      <c r="G549" s="6" t="str">
        <f t="shared" si="127"/>
        <v>女</v>
      </c>
      <c r="H549" s="6" t="str">
        <f>"1994-06-12"</f>
        <v>1994-06-12</v>
      </c>
      <c r="I549" s="6"/>
    </row>
    <row r="550" s="1" customFormat="1" ht="30" customHeight="1" spans="1:9">
      <c r="A550" s="6">
        <v>548</v>
      </c>
      <c r="B550" s="6" t="str">
        <f>"48712023020421135622600"</f>
        <v>48712023020421135622600</v>
      </c>
      <c r="C550" s="6" t="str">
        <f t="shared" si="116"/>
        <v>0201</v>
      </c>
      <c r="D550" s="6" t="s">
        <v>12</v>
      </c>
      <c r="E550" s="6" t="s">
        <v>13</v>
      </c>
      <c r="F550" s="6" t="str">
        <f>"符如曼"</f>
        <v>符如曼</v>
      </c>
      <c r="G550" s="6" t="str">
        <f t="shared" si="127"/>
        <v>女</v>
      </c>
      <c r="H550" s="6" t="str">
        <f>"1997-07-01"</f>
        <v>1997-07-01</v>
      </c>
      <c r="I550" s="6"/>
    </row>
    <row r="551" s="1" customFormat="1" ht="30" customHeight="1" spans="1:9">
      <c r="A551" s="6">
        <v>549</v>
      </c>
      <c r="B551" s="6" t="str">
        <f>"48712023020421181222607"</f>
        <v>48712023020421181222607</v>
      </c>
      <c r="C551" s="6" t="str">
        <f t="shared" si="116"/>
        <v>0201</v>
      </c>
      <c r="D551" s="6" t="s">
        <v>12</v>
      </c>
      <c r="E551" s="6" t="s">
        <v>13</v>
      </c>
      <c r="F551" s="6" t="str">
        <f>"李小祥"</f>
        <v>李小祥</v>
      </c>
      <c r="G551" s="6" t="str">
        <f t="shared" ref="G551:G554" si="128">"男"</f>
        <v>男</v>
      </c>
      <c r="H551" s="6" t="str">
        <f>"1994-01-01"</f>
        <v>1994-01-01</v>
      </c>
      <c r="I551" s="6"/>
    </row>
    <row r="552" s="1" customFormat="1" ht="30" customHeight="1" spans="1:9">
      <c r="A552" s="6">
        <v>550</v>
      </c>
      <c r="B552" s="6" t="str">
        <f>"48712023020421451122659"</f>
        <v>48712023020421451122659</v>
      </c>
      <c r="C552" s="6" t="str">
        <f t="shared" si="116"/>
        <v>0201</v>
      </c>
      <c r="D552" s="6" t="s">
        <v>12</v>
      </c>
      <c r="E552" s="6" t="s">
        <v>13</v>
      </c>
      <c r="F552" s="6" t="str">
        <f>"李伟明"</f>
        <v>李伟明</v>
      </c>
      <c r="G552" s="6" t="str">
        <f t="shared" si="128"/>
        <v>男</v>
      </c>
      <c r="H552" s="6" t="str">
        <f>"1997-05-22"</f>
        <v>1997-05-22</v>
      </c>
      <c r="I552" s="6"/>
    </row>
    <row r="553" s="1" customFormat="1" ht="30" customHeight="1" spans="1:9">
      <c r="A553" s="6">
        <v>551</v>
      </c>
      <c r="B553" s="6" t="str">
        <f>"48712023020422110422711"</f>
        <v>48712023020422110422711</v>
      </c>
      <c r="C553" s="6" t="str">
        <f t="shared" si="116"/>
        <v>0201</v>
      </c>
      <c r="D553" s="6" t="s">
        <v>12</v>
      </c>
      <c r="E553" s="6" t="s">
        <v>13</v>
      </c>
      <c r="F553" s="6" t="str">
        <f>"董景"</f>
        <v>董景</v>
      </c>
      <c r="G553" s="6" t="str">
        <f t="shared" si="128"/>
        <v>男</v>
      </c>
      <c r="H553" s="6" t="str">
        <f>"1999-04-08"</f>
        <v>1999-04-08</v>
      </c>
      <c r="I553" s="6"/>
    </row>
    <row r="554" s="1" customFormat="1" ht="30" customHeight="1" spans="1:9">
      <c r="A554" s="6">
        <v>552</v>
      </c>
      <c r="B554" s="6" t="str">
        <f>"48712023020500465922938"</f>
        <v>48712023020500465922938</v>
      </c>
      <c r="C554" s="6" t="str">
        <f t="shared" si="116"/>
        <v>0201</v>
      </c>
      <c r="D554" s="6" t="s">
        <v>12</v>
      </c>
      <c r="E554" s="6" t="s">
        <v>13</v>
      </c>
      <c r="F554" s="6" t="str">
        <f>"陈诗源"</f>
        <v>陈诗源</v>
      </c>
      <c r="G554" s="6" t="str">
        <f t="shared" si="128"/>
        <v>男</v>
      </c>
      <c r="H554" s="6" t="str">
        <f>"1997-09-02"</f>
        <v>1997-09-02</v>
      </c>
      <c r="I554" s="6"/>
    </row>
    <row r="555" s="1" customFormat="1" ht="30" customHeight="1" spans="1:9">
      <c r="A555" s="6">
        <v>553</v>
      </c>
      <c r="B555" s="6" t="str">
        <f>"48712023020508364623006"</f>
        <v>48712023020508364623006</v>
      </c>
      <c r="C555" s="6" t="str">
        <f t="shared" si="116"/>
        <v>0201</v>
      </c>
      <c r="D555" s="6" t="s">
        <v>12</v>
      </c>
      <c r="E555" s="6" t="s">
        <v>13</v>
      </c>
      <c r="F555" s="6" t="str">
        <f>"戴雨萌"</f>
        <v>戴雨萌</v>
      </c>
      <c r="G555" s="6" t="str">
        <f t="shared" ref="G555:G558" si="129">"女"</f>
        <v>女</v>
      </c>
      <c r="H555" s="6" t="str">
        <f>"1999-09-01"</f>
        <v>1999-09-01</v>
      </c>
      <c r="I555" s="6"/>
    </row>
    <row r="556" s="1" customFormat="1" ht="30" customHeight="1" spans="1:9">
      <c r="A556" s="6">
        <v>554</v>
      </c>
      <c r="B556" s="6" t="str">
        <f>"48712023020511284123264"</f>
        <v>48712023020511284123264</v>
      </c>
      <c r="C556" s="6" t="str">
        <f t="shared" si="116"/>
        <v>0201</v>
      </c>
      <c r="D556" s="6" t="s">
        <v>12</v>
      </c>
      <c r="E556" s="6" t="s">
        <v>13</v>
      </c>
      <c r="F556" s="6" t="str">
        <f>"柯灵丹"</f>
        <v>柯灵丹</v>
      </c>
      <c r="G556" s="6" t="str">
        <f t="shared" si="129"/>
        <v>女</v>
      </c>
      <c r="H556" s="6" t="str">
        <f>"1998-09-01"</f>
        <v>1998-09-01</v>
      </c>
      <c r="I556" s="6"/>
    </row>
    <row r="557" s="1" customFormat="1" ht="30" customHeight="1" spans="1:9">
      <c r="A557" s="6">
        <v>555</v>
      </c>
      <c r="B557" s="6" t="str">
        <f>"48712023020515391723720"</f>
        <v>48712023020515391723720</v>
      </c>
      <c r="C557" s="6" t="str">
        <f t="shared" ref="C557:C620" si="130">"0201"</f>
        <v>0201</v>
      </c>
      <c r="D557" s="6" t="s">
        <v>12</v>
      </c>
      <c r="E557" s="6" t="s">
        <v>13</v>
      </c>
      <c r="F557" s="6" t="str">
        <f>"李卓艺"</f>
        <v>李卓艺</v>
      </c>
      <c r="G557" s="6" t="str">
        <f t="shared" si="129"/>
        <v>女</v>
      </c>
      <c r="H557" s="6" t="str">
        <f>"2000-02-02"</f>
        <v>2000-02-02</v>
      </c>
      <c r="I557" s="6"/>
    </row>
    <row r="558" s="1" customFormat="1" ht="30" customHeight="1" spans="1:9">
      <c r="A558" s="6">
        <v>556</v>
      </c>
      <c r="B558" s="6" t="str">
        <f>"48712023020517343423985"</f>
        <v>48712023020517343423985</v>
      </c>
      <c r="C558" s="6" t="str">
        <f t="shared" si="130"/>
        <v>0201</v>
      </c>
      <c r="D558" s="6" t="s">
        <v>12</v>
      </c>
      <c r="E558" s="6" t="s">
        <v>13</v>
      </c>
      <c r="F558" s="6" t="str">
        <f>"李晶晶"</f>
        <v>李晶晶</v>
      </c>
      <c r="G558" s="6" t="str">
        <f t="shared" si="129"/>
        <v>女</v>
      </c>
      <c r="H558" s="6" t="str">
        <f>"1999-01-29"</f>
        <v>1999-01-29</v>
      </c>
      <c r="I558" s="6"/>
    </row>
    <row r="559" s="1" customFormat="1" ht="30" customHeight="1" spans="1:9">
      <c r="A559" s="6">
        <v>557</v>
      </c>
      <c r="B559" s="6" t="str">
        <f>"48712023020519474424187"</f>
        <v>48712023020519474424187</v>
      </c>
      <c r="C559" s="6" t="str">
        <f t="shared" si="130"/>
        <v>0201</v>
      </c>
      <c r="D559" s="6" t="s">
        <v>12</v>
      </c>
      <c r="E559" s="6" t="s">
        <v>13</v>
      </c>
      <c r="F559" s="6" t="str">
        <f>"关人朱"</f>
        <v>关人朱</v>
      </c>
      <c r="G559" s="6" t="str">
        <f>"男"</f>
        <v>男</v>
      </c>
      <c r="H559" s="6" t="str">
        <f>"2000-10-25"</f>
        <v>2000-10-25</v>
      </c>
      <c r="I559" s="6"/>
    </row>
    <row r="560" s="1" customFormat="1" ht="30" customHeight="1" spans="1:9">
      <c r="A560" s="6">
        <v>558</v>
      </c>
      <c r="B560" s="6" t="str">
        <f>"48712023020521385024504"</f>
        <v>48712023020521385024504</v>
      </c>
      <c r="C560" s="6" t="str">
        <f t="shared" si="130"/>
        <v>0201</v>
      </c>
      <c r="D560" s="6" t="s">
        <v>12</v>
      </c>
      <c r="E560" s="6" t="s">
        <v>13</v>
      </c>
      <c r="F560" s="6" t="str">
        <f>"吉丽"</f>
        <v>吉丽</v>
      </c>
      <c r="G560" s="6" t="str">
        <f t="shared" ref="G560:G565" si="131">"女"</f>
        <v>女</v>
      </c>
      <c r="H560" s="6" t="str">
        <f>"1994-09-27"</f>
        <v>1994-09-27</v>
      </c>
      <c r="I560" s="6"/>
    </row>
    <row r="561" s="1" customFormat="1" ht="30" customHeight="1" spans="1:9">
      <c r="A561" s="6">
        <v>559</v>
      </c>
      <c r="B561" s="6" t="str">
        <f>"48712023020522424924743"</f>
        <v>48712023020522424924743</v>
      </c>
      <c r="C561" s="6" t="str">
        <f t="shared" si="130"/>
        <v>0201</v>
      </c>
      <c r="D561" s="6" t="s">
        <v>12</v>
      </c>
      <c r="E561" s="6" t="s">
        <v>13</v>
      </c>
      <c r="F561" s="6" t="str">
        <f>"哈里"</f>
        <v>哈里</v>
      </c>
      <c r="G561" s="6" t="str">
        <f>"男"</f>
        <v>男</v>
      </c>
      <c r="H561" s="6" t="str">
        <f>"1999-08-29"</f>
        <v>1999-08-29</v>
      </c>
      <c r="I561" s="6"/>
    </row>
    <row r="562" s="1" customFormat="1" ht="30" customHeight="1" spans="1:9">
      <c r="A562" s="6">
        <v>560</v>
      </c>
      <c r="B562" s="6" t="str">
        <f>"48712023020523305924911"</f>
        <v>48712023020523305924911</v>
      </c>
      <c r="C562" s="6" t="str">
        <f t="shared" si="130"/>
        <v>0201</v>
      </c>
      <c r="D562" s="6" t="s">
        <v>12</v>
      </c>
      <c r="E562" s="6" t="s">
        <v>13</v>
      </c>
      <c r="F562" s="6" t="str">
        <f>"吴霏霏"</f>
        <v>吴霏霏</v>
      </c>
      <c r="G562" s="6" t="str">
        <f t="shared" si="131"/>
        <v>女</v>
      </c>
      <c r="H562" s="6" t="str">
        <f>"1998-07-08"</f>
        <v>1998-07-08</v>
      </c>
      <c r="I562" s="6"/>
    </row>
    <row r="563" s="1" customFormat="1" ht="30" customHeight="1" spans="1:9">
      <c r="A563" s="6">
        <v>561</v>
      </c>
      <c r="B563" s="6" t="str">
        <f>"48712023020600085824993"</f>
        <v>48712023020600085824993</v>
      </c>
      <c r="C563" s="6" t="str">
        <f t="shared" si="130"/>
        <v>0201</v>
      </c>
      <c r="D563" s="6" t="s">
        <v>12</v>
      </c>
      <c r="E563" s="6" t="s">
        <v>13</v>
      </c>
      <c r="F563" s="6" t="str">
        <f>"陈春迷"</f>
        <v>陈春迷</v>
      </c>
      <c r="G563" s="6" t="str">
        <f t="shared" si="131"/>
        <v>女</v>
      </c>
      <c r="H563" s="6" t="str">
        <f>"1995-09-26"</f>
        <v>1995-09-26</v>
      </c>
      <c r="I563" s="6"/>
    </row>
    <row r="564" s="1" customFormat="1" ht="30" customHeight="1" spans="1:9">
      <c r="A564" s="6">
        <v>562</v>
      </c>
      <c r="B564" s="6" t="str">
        <f>"48712023020600171025003"</f>
        <v>48712023020600171025003</v>
      </c>
      <c r="C564" s="6" t="str">
        <f t="shared" si="130"/>
        <v>0201</v>
      </c>
      <c r="D564" s="6" t="s">
        <v>12</v>
      </c>
      <c r="E564" s="6" t="s">
        <v>13</v>
      </c>
      <c r="F564" s="6" t="str">
        <f>"贺晓澍"</f>
        <v>贺晓澍</v>
      </c>
      <c r="G564" s="6" t="str">
        <f t="shared" si="131"/>
        <v>女</v>
      </c>
      <c r="H564" s="6" t="str">
        <f>"1993-06-27"</f>
        <v>1993-06-27</v>
      </c>
      <c r="I564" s="6"/>
    </row>
    <row r="565" s="1" customFormat="1" ht="30" customHeight="1" spans="1:9">
      <c r="A565" s="6">
        <v>563</v>
      </c>
      <c r="B565" s="6" t="str">
        <f>"48712023020600591125045"</f>
        <v>48712023020600591125045</v>
      </c>
      <c r="C565" s="6" t="str">
        <f t="shared" si="130"/>
        <v>0201</v>
      </c>
      <c r="D565" s="6" t="s">
        <v>12</v>
      </c>
      <c r="E565" s="6" t="s">
        <v>13</v>
      </c>
      <c r="F565" s="6" t="str">
        <f>"陈丹雅"</f>
        <v>陈丹雅</v>
      </c>
      <c r="G565" s="6" t="str">
        <f t="shared" si="131"/>
        <v>女</v>
      </c>
      <c r="H565" s="6" t="str">
        <f>"1999-04-18"</f>
        <v>1999-04-18</v>
      </c>
      <c r="I565" s="6"/>
    </row>
    <row r="566" s="1" customFormat="1" ht="30" customHeight="1" spans="1:9">
      <c r="A566" s="6">
        <v>564</v>
      </c>
      <c r="B566" s="6" t="str">
        <f>"48712023020603422525085"</f>
        <v>48712023020603422525085</v>
      </c>
      <c r="C566" s="6" t="str">
        <f t="shared" si="130"/>
        <v>0201</v>
      </c>
      <c r="D566" s="6" t="s">
        <v>12</v>
      </c>
      <c r="E566" s="6" t="s">
        <v>13</v>
      </c>
      <c r="F566" s="6" t="str">
        <f>"黎凡"</f>
        <v>黎凡</v>
      </c>
      <c r="G566" s="6" t="str">
        <f>"男"</f>
        <v>男</v>
      </c>
      <c r="H566" s="6" t="str">
        <f>"1991-01-10"</f>
        <v>1991-01-10</v>
      </c>
      <c r="I566" s="6"/>
    </row>
    <row r="567" s="1" customFormat="1" ht="30" customHeight="1" spans="1:9">
      <c r="A567" s="6">
        <v>565</v>
      </c>
      <c r="B567" s="6" t="str">
        <f>"48712023020608472425179"</f>
        <v>48712023020608472425179</v>
      </c>
      <c r="C567" s="6" t="str">
        <f t="shared" si="130"/>
        <v>0201</v>
      </c>
      <c r="D567" s="6" t="s">
        <v>12</v>
      </c>
      <c r="E567" s="6" t="s">
        <v>13</v>
      </c>
      <c r="F567" s="6" t="str">
        <f>"李倩"</f>
        <v>李倩</v>
      </c>
      <c r="G567" s="6" t="str">
        <f t="shared" ref="G567:G573" si="132">"女"</f>
        <v>女</v>
      </c>
      <c r="H567" s="6" t="str">
        <f>"1996-10-14"</f>
        <v>1996-10-14</v>
      </c>
      <c r="I567" s="6"/>
    </row>
    <row r="568" s="1" customFormat="1" ht="30" customHeight="1" spans="1:9">
      <c r="A568" s="6">
        <v>566</v>
      </c>
      <c r="B568" s="6" t="str">
        <f>"48712023020609043625216"</f>
        <v>48712023020609043625216</v>
      </c>
      <c r="C568" s="6" t="str">
        <f t="shared" si="130"/>
        <v>0201</v>
      </c>
      <c r="D568" s="6" t="s">
        <v>12</v>
      </c>
      <c r="E568" s="6" t="s">
        <v>13</v>
      </c>
      <c r="F568" s="6" t="str">
        <f>"徐旺"</f>
        <v>徐旺</v>
      </c>
      <c r="G568" s="6" t="str">
        <f>"男"</f>
        <v>男</v>
      </c>
      <c r="H568" s="6" t="str">
        <f>"1998-09-03"</f>
        <v>1998-09-03</v>
      </c>
      <c r="I568" s="6"/>
    </row>
    <row r="569" s="1" customFormat="1" ht="30" customHeight="1" spans="1:9">
      <c r="A569" s="6">
        <v>567</v>
      </c>
      <c r="B569" s="6" t="str">
        <f>"48712023020609083725231"</f>
        <v>48712023020609083725231</v>
      </c>
      <c r="C569" s="6" t="str">
        <f t="shared" si="130"/>
        <v>0201</v>
      </c>
      <c r="D569" s="6" t="s">
        <v>12</v>
      </c>
      <c r="E569" s="6" t="s">
        <v>13</v>
      </c>
      <c r="F569" s="6" t="str">
        <f>"肖楠"</f>
        <v>肖楠</v>
      </c>
      <c r="G569" s="6" t="str">
        <f t="shared" si="132"/>
        <v>女</v>
      </c>
      <c r="H569" s="6" t="str">
        <f>"1992-12-13"</f>
        <v>1992-12-13</v>
      </c>
      <c r="I569" s="6"/>
    </row>
    <row r="570" s="1" customFormat="1" ht="30" customHeight="1" spans="1:9">
      <c r="A570" s="6">
        <v>568</v>
      </c>
      <c r="B570" s="6" t="str">
        <f>"48712023020609251625301"</f>
        <v>48712023020609251625301</v>
      </c>
      <c r="C570" s="6" t="str">
        <f t="shared" si="130"/>
        <v>0201</v>
      </c>
      <c r="D570" s="6" t="s">
        <v>12</v>
      </c>
      <c r="E570" s="6" t="s">
        <v>13</v>
      </c>
      <c r="F570" s="6" t="str">
        <f>"吴瑛"</f>
        <v>吴瑛</v>
      </c>
      <c r="G570" s="6" t="str">
        <f t="shared" si="132"/>
        <v>女</v>
      </c>
      <c r="H570" s="6" t="str">
        <f>"1995-03-31"</f>
        <v>1995-03-31</v>
      </c>
      <c r="I570" s="6"/>
    </row>
    <row r="571" s="1" customFormat="1" ht="30" customHeight="1" spans="1:9">
      <c r="A571" s="6">
        <v>569</v>
      </c>
      <c r="B571" s="6" t="str">
        <f>"48712023020609384625364"</f>
        <v>48712023020609384625364</v>
      </c>
      <c r="C571" s="6" t="str">
        <f t="shared" si="130"/>
        <v>0201</v>
      </c>
      <c r="D571" s="6" t="s">
        <v>12</v>
      </c>
      <c r="E571" s="6" t="s">
        <v>13</v>
      </c>
      <c r="F571" s="6" t="str">
        <f>"吴美红"</f>
        <v>吴美红</v>
      </c>
      <c r="G571" s="6" t="str">
        <f t="shared" si="132"/>
        <v>女</v>
      </c>
      <c r="H571" s="6" t="str">
        <f>"1996-11-09"</f>
        <v>1996-11-09</v>
      </c>
      <c r="I571" s="6"/>
    </row>
    <row r="572" s="1" customFormat="1" ht="30" customHeight="1" spans="1:9">
      <c r="A572" s="6">
        <v>570</v>
      </c>
      <c r="B572" s="6" t="str">
        <f>"48712023020609441725378"</f>
        <v>48712023020609441725378</v>
      </c>
      <c r="C572" s="6" t="str">
        <f t="shared" si="130"/>
        <v>0201</v>
      </c>
      <c r="D572" s="6" t="s">
        <v>12</v>
      </c>
      <c r="E572" s="6" t="s">
        <v>13</v>
      </c>
      <c r="F572" s="6" t="str">
        <f>"彭玉璋"</f>
        <v>彭玉璋</v>
      </c>
      <c r="G572" s="6" t="str">
        <f t="shared" si="132"/>
        <v>女</v>
      </c>
      <c r="H572" s="6" t="str">
        <f>"1988-11-14"</f>
        <v>1988-11-14</v>
      </c>
      <c r="I572" s="6"/>
    </row>
    <row r="573" s="1" customFormat="1" ht="30" customHeight="1" spans="1:9">
      <c r="A573" s="6">
        <v>571</v>
      </c>
      <c r="B573" s="6" t="str">
        <f>"48712023020610011925445"</f>
        <v>48712023020610011925445</v>
      </c>
      <c r="C573" s="6" t="str">
        <f t="shared" si="130"/>
        <v>0201</v>
      </c>
      <c r="D573" s="6" t="s">
        <v>12</v>
      </c>
      <c r="E573" s="6" t="s">
        <v>13</v>
      </c>
      <c r="F573" s="6" t="str">
        <f>"吴岚岚"</f>
        <v>吴岚岚</v>
      </c>
      <c r="G573" s="6" t="str">
        <f t="shared" si="132"/>
        <v>女</v>
      </c>
      <c r="H573" s="6" t="str">
        <f>"1998-06-12"</f>
        <v>1998-06-12</v>
      </c>
      <c r="I573" s="6"/>
    </row>
    <row r="574" s="1" customFormat="1" ht="30" customHeight="1" spans="1:9">
      <c r="A574" s="6">
        <v>572</v>
      </c>
      <c r="B574" s="6" t="str">
        <f>"48712023020610023825449"</f>
        <v>48712023020610023825449</v>
      </c>
      <c r="C574" s="6" t="str">
        <f t="shared" si="130"/>
        <v>0201</v>
      </c>
      <c r="D574" s="6" t="s">
        <v>12</v>
      </c>
      <c r="E574" s="6" t="s">
        <v>13</v>
      </c>
      <c r="F574" s="6" t="str">
        <f>"张正茂"</f>
        <v>张正茂</v>
      </c>
      <c r="G574" s="6" t="str">
        <f t="shared" ref="G574:G578" si="133">"男"</f>
        <v>男</v>
      </c>
      <c r="H574" s="6" t="str">
        <f>"2000-04-21"</f>
        <v>2000-04-21</v>
      </c>
      <c r="I574" s="6"/>
    </row>
    <row r="575" s="1" customFormat="1" ht="30" customHeight="1" spans="1:9">
      <c r="A575" s="6">
        <v>573</v>
      </c>
      <c r="B575" s="6" t="str">
        <f>"48712023020610090925485"</f>
        <v>48712023020610090925485</v>
      </c>
      <c r="C575" s="6" t="str">
        <f t="shared" si="130"/>
        <v>0201</v>
      </c>
      <c r="D575" s="6" t="s">
        <v>12</v>
      </c>
      <c r="E575" s="6" t="s">
        <v>13</v>
      </c>
      <c r="F575" s="6" t="str">
        <f>"孙一宁"</f>
        <v>孙一宁</v>
      </c>
      <c r="G575" s="6" t="str">
        <f>"女"</f>
        <v>女</v>
      </c>
      <c r="H575" s="6" t="str">
        <f>"1998-08-25"</f>
        <v>1998-08-25</v>
      </c>
      <c r="I575" s="6"/>
    </row>
    <row r="576" s="1" customFormat="1" ht="30" customHeight="1" spans="1:9">
      <c r="A576" s="6">
        <v>574</v>
      </c>
      <c r="B576" s="6" t="str">
        <f>"48712023020610155325515"</f>
        <v>48712023020610155325515</v>
      </c>
      <c r="C576" s="6" t="str">
        <f t="shared" si="130"/>
        <v>0201</v>
      </c>
      <c r="D576" s="6" t="s">
        <v>12</v>
      </c>
      <c r="E576" s="6" t="s">
        <v>13</v>
      </c>
      <c r="F576" s="6" t="str">
        <f>"林虹"</f>
        <v>林虹</v>
      </c>
      <c r="G576" s="6" t="str">
        <f>"女"</f>
        <v>女</v>
      </c>
      <c r="H576" s="6" t="str">
        <f>"1988-01-20"</f>
        <v>1988-01-20</v>
      </c>
      <c r="I576" s="6"/>
    </row>
    <row r="577" s="1" customFormat="1" ht="30" customHeight="1" spans="1:9">
      <c r="A577" s="6">
        <v>575</v>
      </c>
      <c r="B577" s="6" t="str">
        <f>"48712023020610433425631"</f>
        <v>48712023020610433425631</v>
      </c>
      <c r="C577" s="6" t="str">
        <f t="shared" si="130"/>
        <v>0201</v>
      </c>
      <c r="D577" s="6" t="s">
        <v>12</v>
      </c>
      <c r="E577" s="6" t="s">
        <v>13</v>
      </c>
      <c r="F577" s="6" t="str">
        <f>"谢健华"</f>
        <v>谢健华</v>
      </c>
      <c r="G577" s="6" t="str">
        <f t="shared" si="133"/>
        <v>男</v>
      </c>
      <c r="H577" s="6" t="str">
        <f>"1992-03-04"</f>
        <v>1992-03-04</v>
      </c>
      <c r="I577" s="6"/>
    </row>
    <row r="578" s="1" customFormat="1" ht="30" customHeight="1" spans="1:9">
      <c r="A578" s="6">
        <v>576</v>
      </c>
      <c r="B578" s="6" t="str">
        <f>"48712023020611021625718"</f>
        <v>48712023020611021625718</v>
      </c>
      <c r="C578" s="6" t="str">
        <f t="shared" si="130"/>
        <v>0201</v>
      </c>
      <c r="D578" s="6" t="s">
        <v>12</v>
      </c>
      <c r="E578" s="6" t="s">
        <v>13</v>
      </c>
      <c r="F578" s="6" t="str">
        <f>"黎伟"</f>
        <v>黎伟</v>
      </c>
      <c r="G578" s="6" t="str">
        <f t="shared" si="133"/>
        <v>男</v>
      </c>
      <c r="H578" s="6" t="str">
        <f>"1993-05-11"</f>
        <v>1993-05-11</v>
      </c>
      <c r="I578" s="6"/>
    </row>
    <row r="579" s="1" customFormat="1" ht="30" customHeight="1" spans="1:9">
      <c r="A579" s="6">
        <v>577</v>
      </c>
      <c r="B579" s="6" t="str">
        <f>"48712023020611252025812"</f>
        <v>48712023020611252025812</v>
      </c>
      <c r="C579" s="6" t="str">
        <f t="shared" si="130"/>
        <v>0201</v>
      </c>
      <c r="D579" s="6" t="s">
        <v>12</v>
      </c>
      <c r="E579" s="6" t="s">
        <v>13</v>
      </c>
      <c r="F579" s="6" t="str">
        <f>"唐乾月"</f>
        <v>唐乾月</v>
      </c>
      <c r="G579" s="6" t="str">
        <f t="shared" ref="G579:G588" si="134">"女"</f>
        <v>女</v>
      </c>
      <c r="H579" s="6" t="str">
        <f>"1996-02-16"</f>
        <v>1996-02-16</v>
      </c>
      <c r="I579" s="6"/>
    </row>
    <row r="580" s="1" customFormat="1" ht="30" customHeight="1" spans="1:9">
      <c r="A580" s="6">
        <v>578</v>
      </c>
      <c r="B580" s="6" t="str">
        <f>"48712023020611473725885"</f>
        <v>48712023020611473725885</v>
      </c>
      <c r="C580" s="6" t="str">
        <f t="shared" si="130"/>
        <v>0201</v>
      </c>
      <c r="D580" s="6" t="s">
        <v>12</v>
      </c>
      <c r="E580" s="6" t="s">
        <v>13</v>
      </c>
      <c r="F580" s="6" t="str">
        <f>"陈悦"</f>
        <v>陈悦</v>
      </c>
      <c r="G580" s="6" t="str">
        <f t="shared" si="134"/>
        <v>女</v>
      </c>
      <c r="H580" s="6" t="str">
        <f>"1998-10-08"</f>
        <v>1998-10-08</v>
      </c>
      <c r="I580" s="6"/>
    </row>
    <row r="581" s="1" customFormat="1" ht="30" customHeight="1" spans="1:9">
      <c r="A581" s="6">
        <v>579</v>
      </c>
      <c r="B581" s="6" t="str">
        <f>"48712023020612081525941"</f>
        <v>48712023020612081525941</v>
      </c>
      <c r="C581" s="6" t="str">
        <f t="shared" si="130"/>
        <v>0201</v>
      </c>
      <c r="D581" s="6" t="s">
        <v>12</v>
      </c>
      <c r="E581" s="6" t="s">
        <v>13</v>
      </c>
      <c r="F581" s="6" t="str">
        <f>"李梅"</f>
        <v>李梅</v>
      </c>
      <c r="G581" s="6" t="str">
        <f t="shared" si="134"/>
        <v>女</v>
      </c>
      <c r="H581" s="6" t="str">
        <f>"1991-03-05"</f>
        <v>1991-03-05</v>
      </c>
      <c r="I581" s="6"/>
    </row>
    <row r="582" s="1" customFormat="1" ht="30" customHeight="1" spans="1:9">
      <c r="A582" s="6">
        <v>580</v>
      </c>
      <c r="B582" s="6" t="str">
        <f>"48712023020612544826097"</f>
        <v>48712023020612544826097</v>
      </c>
      <c r="C582" s="6" t="str">
        <f t="shared" si="130"/>
        <v>0201</v>
      </c>
      <c r="D582" s="6" t="s">
        <v>12</v>
      </c>
      <c r="E582" s="6" t="s">
        <v>13</v>
      </c>
      <c r="F582" s="6" t="str">
        <f>"黄嘉欣"</f>
        <v>黄嘉欣</v>
      </c>
      <c r="G582" s="6" t="str">
        <f t="shared" si="134"/>
        <v>女</v>
      </c>
      <c r="H582" s="6" t="str">
        <f>"1992-04-14"</f>
        <v>1992-04-14</v>
      </c>
      <c r="I582" s="6"/>
    </row>
    <row r="583" s="1" customFormat="1" ht="30" customHeight="1" spans="1:9">
      <c r="A583" s="6">
        <v>581</v>
      </c>
      <c r="B583" s="6" t="str">
        <f>"48712023020613015726123"</f>
        <v>48712023020613015726123</v>
      </c>
      <c r="C583" s="6" t="str">
        <f t="shared" si="130"/>
        <v>0201</v>
      </c>
      <c r="D583" s="6" t="s">
        <v>12</v>
      </c>
      <c r="E583" s="6" t="s">
        <v>13</v>
      </c>
      <c r="F583" s="6" t="str">
        <f>"许欣"</f>
        <v>许欣</v>
      </c>
      <c r="G583" s="6" t="str">
        <f t="shared" si="134"/>
        <v>女</v>
      </c>
      <c r="H583" s="6" t="str">
        <f>"1988-10-19"</f>
        <v>1988-10-19</v>
      </c>
      <c r="I583" s="6"/>
    </row>
    <row r="584" s="1" customFormat="1" ht="30" customHeight="1" spans="1:9">
      <c r="A584" s="6">
        <v>582</v>
      </c>
      <c r="B584" s="6" t="str">
        <f>"48712023020613110426158"</f>
        <v>48712023020613110426158</v>
      </c>
      <c r="C584" s="6" t="str">
        <f t="shared" si="130"/>
        <v>0201</v>
      </c>
      <c r="D584" s="6" t="s">
        <v>12</v>
      </c>
      <c r="E584" s="6" t="s">
        <v>13</v>
      </c>
      <c r="F584" s="6" t="str">
        <f>"闫秀连"</f>
        <v>闫秀连</v>
      </c>
      <c r="G584" s="6" t="str">
        <f t="shared" si="134"/>
        <v>女</v>
      </c>
      <c r="H584" s="6" t="str">
        <f>"1997-07-14"</f>
        <v>1997-07-14</v>
      </c>
      <c r="I584" s="6"/>
    </row>
    <row r="585" s="1" customFormat="1" ht="30" customHeight="1" spans="1:9">
      <c r="A585" s="6">
        <v>583</v>
      </c>
      <c r="B585" s="6" t="str">
        <f>"48712023020613113026163"</f>
        <v>48712023020613113026163</v>
      </c>
      <c r="C585" s="6" t="str">
        <f t="shared" si="130"/>
        <v>0201</v>
      </c>
      <c r="D585" s="6" t="s">
        <v>12</v>
      </c>
      <c r="E585" s="6" t="s">
        <v>13</v>
      </c>
      <c r="F585" s="6" t="str">
        <f>"徐冬珍"</f>
        <v>徐冬珍</v>
      </c>
      <c r="G585" s="6" t="str">
        <f t="shared" si="134"/>
        <v>女</v>
      </c>
      <c r="H585" s="6" t="str">
        <f>"1998-12-21"</f>
        <v>1998-12-21</v>
      </c>
      <c r="I585" s="6"/>
    </row>
    <row r="586" s="1" customFormat="1" ht="30" customHeight="1" spans="1:9">
      <c r="A586" s="6">
        <v>584</v>
      </c>
      <c r="B586" s="6" t="str">
        <f>"48712023020613181126182"</f>
        <v>48712023020613181126182</v>
      </c>
      <c r="C586" s="6" t="str">
        <f t="shared" si="130"/>
        <v>0201</v>
      </c>
      <c r="D586" s="6" t="s">
        <v>12</v>
      </c>
      <c r="E586" s="6" t="s">
        <v>13</v>
      </c>
      <c r="F586" s="6" t="str">
        <f>"邓清雅"</f>
        <v>邓清雅</v>
      </c>
      <c r="G586" s="6" t="str">
        <f t="shared" si="134"/>
        <v>女</v>
      </c>
      <c r="H586" s="6" t="str">
        <f>"1992-11-20"</f>
        <v>1992-11-20</v>
      </c>
      <c r="I586" s="6"/>
    </row>
    <row r="587" s="1" customFormat="1" ht="30" customHeight="1" spans="1:9">
      <c r="A587" s="6">
        <v>585</v>
      </c>
      <c r="B587" s="6" t="str">
        <f>"48712023020613205726200"</f>
        <v>48712023020613205726200</v>
      </c>
      <c r="C587" s="6" t="str">
        <f t="shared" si="130"/>
        <v>0201</v>
      </c>
      <c r="D587" s="6" t="s">
        <v>12</v>
      </c>
      <c r="E587" s="6" t="s">
        <v>13</v>
      </c>
      <c r="F587" s="6" t="str">
        <f>"王美琦"</f>
        <v>王美琦</v>
      </c>
      <c r="G587" s="6" t="str">
        <f t="shared" si="134"/>
        <v>女</v>
      </c>
      <c r="H587" s="6" t="str">
        <f>"1998-07-14"</f>
        <v>1998-07-14</v>
      </c>
      <c r="I587" s="6"/>
    </row>
    <row r="588" s="1" customFormat="1" ht="30" customHeight="1" spans="1:9">
      <c r="A588" s="6">
        <v>586</v>
      </c>
      <c r="B588" s="6" t="str">
        <f>"48712023020613265126217"</f>
        <v>48712023020613265126217</v>
      </c>
      <c r="C588" s="6" t="str">
        <f t="shared" si="130"/>
        <v>0201</v>
      </c>
      <c r="D588" s="6" t="s">
        <v>12</v>
      </c>
      <c r="E588" s="6" t="s">
        <v>13</v>
      </c>
      <c r="F588" s="6" t="str">
        <f>"王秋和"</f>
        <v>王秋和</v>
      </c>
      <c r="G588" s="6" t="str">
        <f t="shared" si="134"/>
        <v>女</v>
      </c>
      <c r="H588" s="6" t="str">
        <f>"1997-10-18"</f>
        <v>1997-10-18</v>
      </c>
      <c r="I588" s="6"/>
    </row>
    <row r="589" s="1" customFormat="1" ht="30" customHeight="1" spans="1:9">
      <c r="A589" s="6">
        <v>587</v>
      </c>
      <c r="B589" s="6" t="str">
        <f>"48712023020614090726379"</f>
        <v>48712023020614090726379</v>
      </c>
      <c r="C589" s="6" t="str">
        <f t="shared" si="130"/>
        <v>0201</v>
      </c>
      <c r="D589" s="6" t="s">
        <v>12</v>
      </c>
      <c r="E589" s="6" t="s">
        <v>13</v>
      </c>
      <c r="F589" s="6" t="str">
        <f>"魏泽升"</f>
        <v>魏泽升</v>
      </c>
      <c r="G589" s="6" t="str">
        <f>"男"</f>
        <v>男</v>
      </c>
      <c r="H589" s="6" t="str">
        <f>"1999-01-26"</f>
        <v>1999-01-26</v>
      </c>
      <c r="I589" s="6"/>
    </row>
    <row r="590" s="1" customFormat="1" ht="30" customHeight="1" spans="1:9">
      <c r="A590" s="6">
        <v>588</v>
      </c>
      <c r="B590" s="6" t="str">
        <f>"48712023020614165726416"</f>
        <v>48712023020614165726416</v>
      </c>
      <c r="C590" s="6" t="str">
        <f t="shared" si="130"/>
        <v>0201</v>
      </c>
      <c r="D590" s="6" t="s">
        <v>12</v>
      </c>
      <c r="E590" s="6" t="s">
        <v>13</v>
      </c>
      <c r="F590" s="6" t="str">
        <f>"房学舒"</f>
        <v>房学舒</v>
      </c>
      <c r="G590" s="6" t="str">
        <f t="shared" ref="G590:G597" si="135">"女"</f>
        <v>女</v>
      </c>
      <c r="H590" s="6" t="str">
        <f>"1993-05-25"</f>
        <v>1993-05-25</v>
      </c>
      <c r="I590" s="6"/>
    </row>
    <row r="591" s="1" customFormat="1" ht="30" customHeight="1" spans="1:9">
      <c r="A591" s="6">
        <v>589</v>
      </c>
      <c r="B591" s="6" t="str">
        <f>"48712023020614194426428"</f>
        <v>48712023020614194426428</v>
      </c>
      <c r="C591" s="6" t="str">
        <f t="shared" si="130"/>
        <v>0201</v>
      </c>
      <c r="D591" s="6" t="s">
        <v>12</v>
      </c>
      <c r="E591" s="6" t="s">
        <v>13</v>
      </c>
      <c r="F591" s="6" t="str">
        <f>"陈晟"</f>
        <v>陈晟</v>
      </c>
      <c r="G591" s="6" t="str">
        <f t="shared" si="135"/>
        <v>女</v>
      </c>
      <c r="H591" s="6" t="str">
        <f>"1997-09-18"</f>
        <v>1997-09-18</v>
      </c>
      <c r="I591" s="6"/>
    </row>
    <row r="592" s="1" customFormat="1" ht="30" customHeight="1" spans="1:9">
      <c r="A592" s="6">
        <v>590</v>
      </c>
      <c r="B592" s="6" t="str">
        <f>"48712023020614465026554"</f>
        <v>48712023020614465026554</v>
      </c>
      <c r="C592" s="6" t="str">
        <f t="shared" si="130"/>
        <v>0201</v>
      </c>
      <c r="D592" s="6" t="s">
        <v>12</v>
      </c>
      <c r="E592" s="6" t="s">
        <v>13</v>
      </c>
      <c r="F592" s="6" t="str">
        <f>"冯俊枝"</f>
        <v>冯俊枝</v>
      </c>
      <c r="G592" s="6" t="str">
        <f>"男"</f>
        <v>男</v>
      </c>
      <c r="H592" s="6" t="str">
        <f>"1998-02-03"</f>
        <v>1998-02-03</v>
      </c>
      <c r="I592" s="6"/>
    </row>
    <row r="593" s="1" customFormat="1" ht="30" customHeight="1" spans="1:9">
      <c r="A593" s="6">
        <v>591</v>
      </c>
      <c r="B593" s="6" t="str">
        <f>"48712023020615050226659"</f>
        <v>48712023020615050226659</v>
      </c>
      <c r="C593" s="6" t="str">
        <f t="shared" si="130"/>
        <v>0201</v>
      </c>
      <c r="D593" s="6" t="s">
        <v>12</v>
      </c>
      <c r="E593" s="6" t="s">
        <v>13</v>
      </c>
      <c r="F593" s="6" t="str">
        <f>"王先娇"</f>
        <v>王先娇</v>
      </c>
      <c r="G593" s="6" t="str">
        <f t="shared" si="135"/>
        <v>女</v>
      </c>
      <c r="H593" s="6" t="str">
        <f>"1995-12-31"</f>
        <v>1995-12-31</v>
      </c>
      <c r="I593" s="6"/>
    </row>
    <row r="594" s="1" customFormat="1" ht="30" customHeight="1" spans="1:9">
      <c r="A594" s="6">
        <v>592</v>
      </c>
      <c r="B594" s="6" t="str">
        <f>"48712023020615082126677"</f>
        <v>48712023020615082126677</v>
      </c>
      <c r="C594" s="6" t="str">
        <f t="shared" si="130"/>
        <v>0201</v>
      </c>
      <c r="D594" s="6" t="s">
        <v>12</v>
      </c>
      <c r="E594" s="6" t="s">
        <v>13</v>
      </c>
      <c r="F594" s="6" t="str">
        <f>"龙橘苹"</f>
        <v>龙橘苹</v>
      </c>
      <c r="G594" s="6" t="str">
        <f t="shared" si="135"/>
        <v>女</v>
      </c>
      <c r="H594" s="6" t="str">
        <f>"1995-01-04"</f>
        <v>1995-01-04</v>
      </c>
      <c r="I594" s="6"/>
    </row>
    <row r="595" s="1" customFormat="1" ht="30" customHeight="1" spans="1:9">
      <c r="A595" s="6">
        <v>593</v>
      </c>
      <c r="B595" s="6" t="str">
        <f>"48712023020615244526758"</f>
        <v>48712023020615244526758</v>
      </c>
      <c r="C595" s="6" t="str">
        <f t="shared" si="130"/>
        <v>0201</v>
      </c>
      <c r="D595" s="6" t="s">
        <v>12</v>
      </c>
      <c r="E595" s="6" t="s">
        <v>13</v>
      </c>
      <c r="F595" s="6" t="str">
        <f>"楼光喜"</f>
        <v>楼光喜</v>
      </c>
      <c r="G595" s="6" t="str">
        <f t="shared" si="135"/>
        <v>女</v>
      </c>
      <c r="H595" s="6" t="str">
        <f>"1997-06-06"</f>
        <v>1997-06-06</v>
      </c>
      <c r="I595" s="6"/>
    </row>
    <row r="596" s="1" customFormat="1" ht="30" customHeight="1" spans="1:9">
      <c r="A596" s="6">
        <v>594</v>
      </c>
      <c r="B596" s="6" t="str">
        <f>"48712023020615533126909"</f>
        <v>48712023020615533126909</v>
      </c>
      <c r="C596" s="6" t="str">
        <f t="shared" si="130"/>
        <v>0201</v>
      </c>
      <c r="D596" s="6" t="s">
        <v>12</v>
      </c>
      <c r="E596" s="6" t="s">
        <v>13</v>
      </c>
      <c r="F596" s="6" t="str">
        <f>"王羽"</f>
        <v>王羽</v>
      </c>
      <c r="G596" s="6" t="str">
        <f t="shared" si="135"/>
        <v>女</v>
      </c>
      <c r="H596" s="6" t="str">
        <f>"1996-11-24"</f>
        <v>1996-11-24</v>
      </c>
      <c r="I596" s="6"/>
    </row>
    <row r="597" s="1" customFormat="1" ht="30" customHeight="1" spans="1:9">
      <c r="A597" s="6">
        <v>595</v>
      </c>
      <c r="B597" s="6" t="str">
        <f>"48712023020615553926915"</f>
        <v>48712023020615553926915</v>
      </c>
      <c r="C597" s="6" t="str">
        <f t="shared" si="130"/>
        <v>0201</v>
      </c>
      <c r="D597" s="6" t="s">
        <v>12</v>
      </c>
      <c r="E597" s="6" t="s">
        <v>13</v>
      </c>
      <c r="F597" s="6" t="str">
        <f>"姚雯雯"</f>
        <v>姚雯雯</v>
      </c>
      <c r="G597" s="6" t="str">
        <f t="shared" si="135"/>
        <v>女</v>
      </c>
      <c r="H597" s="6" t="str">
        <f>"2001-01-30"</f>
        <v>2001-01-30</v>
      </c>
      <c r="I597" s="6"/>
    </row>
    <row r="598" s="1" customFormat="1" ht="30" customHeight="1" spans="1:9">
      <c r="A598" s="6">
        <v>596</v>
      </c>
      <c r="B598" s="6" t="str">
        <f>"48712023020616142927020"</f>
        <v>48712023020616142927020</v>
      </c>
      <c r="C598" s="6" t="str">
        <f t="shared" si="130"/>
        <v>0201</v>
      </c>
      <c r="D598" s="6" t="s">
        <v>12</v>
      </c>
      <c r="E598" s="6" t="s">
        <v>13</v>
      </c>
      <c r="F598" s="6" t="str">
        <f>"常学文"</f>
        <v>常学文</v>
      </c>
      <c r="G598" s="6" t="str">
        <f>"男"</f>
        <v>男</v>
      </c>
      <c r="H598" s="6" t="str">
        <f>"1994-10-01"</f>
        <v>1994-10-01</v>
      </c>
      <c r="I598" s="6"/>
    </row>
    <row r="599" s="1" customFormat="1" ht="30" customHeight="1" spans="1:9">
      <c r="A599" s="6">
        <v>597</v>
      </c>
      <c r="B599" s="6" t="str">
        <f>"48712023020616460527172"</f>
        <v>48712023020616460527172</v>
      </c>
      <c r="C599" s="6" t="str">
        <f t="shared" si="130"/>
        <v>0201</v>
      </c>
      <c r="D599" s="6" t="s">
        <v>12</v>
      </c>
      <c r="E599" s="6" t="s">
        <v>13</v>
      </c>
      <c r="F599" s="6" t="str">
        <f>"宁小贤"</f>
        <v>宁小贤</v>
      </c>
      <c r="G599" s="6" t="str">
        <f t="shared" ref="G599:G602" si="136">"女"</f>
        <v>女</v>
      </c>
      <c r="H599" s="6" t="str">
        <f>"1988-07-08"</f>
        <v>1988-07-08</v>
      </c>
      <c r="I599" s="6"/>
    </row>
    <row r="600" s="1" customFormat="1" ht="30" customHeight="1" spans="1:9">
      <c r="A600" s="6">
        <v>598</v>
      </c>
      <c r="B600" s="6" t="str">
        <f>"48712023020617120327229"</f>
        <v>48712023020617120327229</v>
      </c>
      <c r="C600" s="6" t="str">
        <f t="shared" si="130"/>
        <v>0201</v>
      </c>
      <c r="D600" s="6" t="s">
        <v>12</v>
      </c>
      <c r="E600" s="6" t="s">
        <v>13</v>
      </c>
      <c r="F600" s="6" t="str">
        <f>"唐凤仪"</f>
        <v>唐凤仪</v>
      </c>
      <c r="G600" s="6" t="str">
        <f t="shared" si="136"/>
        <v>女</v>
      </c>
      <c r="H600" s="6" t="str">
        <f>"1991-01-14"</f>
        <v>1991-01-14</v>
      </c>
      <c r="I600" s="6"/>
    </row>
    <row r="601" s="1" customFormat="1" ht="30" customHeight="1" spans="1:9">
      <c r="A601" s="6">
        <v>599</v>
      </c>
      <c r="B601" s="6" t="str">
        <f>"48712023020617181427232"</f>
        <v>48712023020617181427232</v>
      </c>
      <c r="C601" s="6" t="str">
        <f t="shared" si="130"/>
        <v>0201</v>
      </c>
      <c r="D601" s="6" t="s">
        <v>12</v>
      </c>
      <c r="E601" s="6" t="s">
        <v>13</v>
      </c>
      <c r="F601" s="6" t="str">
        <f>"符欣欣"</f>
        <v>符欣欣</v>
      </c>
      <c r="G601" s="6" t="str">
        <f t="shared" si="136"/>
        <v>女</v>
      </c>
      <c r="H601" s="6" t="str">
        <f>"2001-03-01"</f>
        <v>2001-03-01</v>
      </c>
      <c r="I601" s="6"/>
    </row>
    <row r="602" s="1" customFormat="1" ht="30" customHeight="1" spans="1:9">
      <c r="A602" s="6">
        <v>600</v>
      </c>
      <c r="B602" s="6" t="str">
        <f>"48712023020617191927233"</f>
        <v>48712023020617191927233</v>
      </c>
      <c r="C602" s="6" t="str">
        <f t="shared" si="130"/>
        <v>0201</v>
      </c>
      <c r="D602" s="6" t="s">
        <v>12</v>
      </c>
      <c r="E602" s="6" t="s">
        <v>13</v>
      </c>
      <c r="F602" s="6" t="str">
        <f>"蔡晶莹"</f>
        <v>蔡晶莹</v>
      </c>
      <c r="G602" s="6" t="str">
        <f t="shared" si="136"/>
        <v>女</v>
      </c>
      <c r="H602" s="6" t="str">
        <f>"1998-06-26"</f>
        <v>1998-06-26</v>
      </c>
      <c r="I602" s="6"/>
    </row>
    <row r="603" s="1" customFormat="1" ht="30" customHeight="1" spans="1:9">
      <c r="A603" s="6">
        <v>601</v>
      </c>
      <c r="B603" s="6" t="str">
        <f>"48712023020617522227244"</f>
        <v>48712023020617522227244</v>
      </c>
      <c r="C603" s="6" t="str">
        <f t="shared" si="130"/>
        <v>0201</v>
      </c>
      <c r="D603" s="6" t="s">
        <v>12</v>
      </c>
      <c r="E603" s="6" t="s">
        <v>13</v>
      </c>
      <c r="F603" s="6" t="str">
        <f>"孙智"</f>
        <v>孙智</v>
      </c>
      <c r="G603" s="6" t="str">
        <f t="shared" ref="G603:G606" si="137">"男"</f>
        <v>男</v>
      </c>
      <c r="H603" s="6" t="str">
        <f>"1997-06-26"</f>
        <v>1997-06-26</v>
      </c>
      <c r="I603" s="6"/>
    </row>
    <row r="604" s="1" customFormat="1" ht="30" customHeight="1" spans="1:9">
      <c r="A604" s="6">
        <v>602</v>
      </c>
      <c r="B604" s="6" t="str">
        <f>"48712023020618551127270"</f>
        <v>48712023020618551127270</v>
      </c>
      <c r="C604" s="6" t="str">
        <f t="shared" si="130"/>
        <v>0201</v>
      </c>
      <c r="D604" s="6" t="s">
        <v>12</v>
      </c>
      <c r="E604" s="6" t="s">
        <v>13</v>
      </c>
      <c r="F604" s="6" t="str">
        <f>"周始猛"</f>
        <v>周始猛</v>
      </c>
      <c r="G604" s="6" t="str">
        <f t="shared" si="137"/>
        <v>男</v>
      </c>
      <c r="H604" s="6" t="str">
        <f>"1998-07-28"</f>
        <v>1998-07-28</v>
      </c>
      <c r="I604" s="6"/>
    </row>
    <row r="605" s="1" customFormat="1" ht="30" customHeight="1" spans="1:9">
      <c r="A605" s="6">
        <v>603</v>
      </c>
      <c r="B605" s="6" t="str">
        <f>"48712023020618591827272"</f>
        <v>48712023020618591827272</v>
      </c>
      <c r="C605" s="6" t="str">
        <f t="shared" si="130"/>
        <v>0201</v>
      </c>
      <c r="D605" s="6" t="s">
        <v>12</v>
      </c>
      <c r="E605" s="6" t="s">
        <v>13</v>
      </c>
      <c r="F605" s="6" t="str">
        <f>"李丹"</f>
        <v>李丹</v>
      </c>
      <c r="G605" s="6" t="str">
        <f t="shared" ref="G605:G608" si="138">"女"</f>
        <v>女</v>
      </c>
      <c r="H605" s="6" t="str">
        <f>"1998-07-31"</f>
        <v>1998-07-31</v>
      </c>
      <c r="I605" s="6"/>
    </row>
    <row r="606" s="1" customFormat="1" ht="30" customHeight="1" spans="1:9">
      <c r="A606" s="6">
        <v>604</v>
      </c>
      <c r="B606" s="6" t="str">
        <f>"48712023020619404827290"</f>
        <v>48712023020619404827290</v>
      </c>
      <c r="C606" s="6" t="str">
        <f t="shared" si="130"/>
        <v>0201</v>
      </c>
      <c r="D606" s="6" t="s">
        <v>12</v>
      </c>
      <c r="E606" s="6" t="s">
        <v>13</v>
      </c>
      <c r="F606" s="6" t="str">
        <f>"潘孝华"</f>
        <v>潘孝华</v>
      </c>
      <c r="G606" s="6" t="str">
        <f t="shared" si="137"/>
        <v>男</v>
      </c>
      <c r="H606" s="6" t="str">
        <f>"1997-02-13"</f>
        <v>1997-02-13</v>
      </c>
      <c r="I606" s="6"/>
    </row>
    <row r="607" s="1" customFormat="1" ht="30" customHeight="1" spans="1:9">
      <c r="A607" s="6">
        <v>605</v>
      </c>
      <c r="B607" s="6" t="str">
        <f>"48712023020620345227302"</f>
        <v>48712023020620345227302</v>
      </c>
      <c r="C607" s="6" t="str">
        <f t="shared" si="130"/>
        <v>0201</v>
      </c>
      <c r="D607" s="6" t="s">
        <v>12</v>
      </c>
      <c r="E607" s="6" t="s">
        <v>13</v>
      </c>
      <c r="F607" s="6" t="str">
        <f>"梁筱"</f>
        <v>梁筱</v>
      </c>
      <c r="G607" s="6" t="str">
        <f t="shared" si="138"/>
        <v>女</v>
      </c>
      <c r="H607" s="6" t="str">
        <f>"1997-12-04"</f>
        <v>1997-12-04</v>
      </c>
      <c r="I607" s="6"/>
    </row>
    <row r="608" s="1" customFormat="1" ht="30" customHeight="1" spans="1:9">
      <c r="A608" s="6">
        <v>606</v>
      </c>
      <c r="B608" s="6" t="str">
        <f>"48712023020620375727304"</f>
        <v>48712023020620375727304</v>
      </c>
      <c r="C608" s="6" t="str">
        <f t="shared" si="130"/>
        <v>0201</v>
      </c>
      <c r="D608" s="6" t="s">
        <v>12</v>
      </c>
      <c r="E608" s="6" t="s">
        <v>13</v>
      </c>
      <c r="F608" s="6" t="str">
        <f>"卢音"</f>
        <v>卢音</v>
      </c>
      <c r="G608" s="6" t="str">
        <f t="shared" si="138"/>
        <v>女</v>
      </c>
      <c r="H608" s="6" t="str">
        <f>"1992-02-18"</f>
        <v>1992-02-18</v>
      </c>
      <c r="I608" s="6"/>
    </row>
    <row r="609" s="1" customFormat="1" ht="30" customHeight="1" spans="1:9">
      <c r="A609" s="6">
        <v>607</v>
      </c>
      <c r="B609" s="6" t="str">
        <f>"48712023020620394827305"</f>
        <v>48712023020620394827305</v>
      </c>
      <c r="C609" s="6" t="str">
        <f t="shared" si="130"/>
        <v>0201</v>
      </c>
      <c r="D609" s="6" t="s">
        <v>12</v>
      </c>
      <c r="E609" s="6" t="s">
        <v>13</v>
      </c>
      <c r="F609" s="6" t="str">
        <f>"黄仕政"</f>
        <v>黄仕政</v>
      </c>
      <c r="G609" s="6" t="str">
        <f>"男"</f>
        <v>男</v>
      </c>
      <c r="H609" s="6" t="str">
        <f>"1994-04-23"</f>
        <v>1994-04-23</v>
      </c>
      <c r="I609" s="6"/>
    </row>
    <row r="610" s="1" customFormat="1" ht="30" customHeight="1" spans="1:9">
      <c r="A610" s="6">
        <v>608</v>
      </c>
      <c r="B610" s="6" t="str">
        <f>"48712023020620475627308"</f>
        <v>48712023020620475627308</v>
      </c>
      <c r="C610" s="6" t="str">
        <f t="shared" si="130"/>
        <v>0201</v>
      </c>
      <c r="D610" s="6" t="s">
        <v>12</v>
      </c>
      <c r="E610" s="6" t="s">
        <v>13</v>
      </c>
      <c r="F610" s="6" t="str">
        <f>"钟玉华"</f>
        <v>钟玉华</v>
      </c>
      <c r="G610" s="6" t="str">
        <f>"女"</f>
        <v>女</v>
      </c>
      <c r="H610" s="6" t="str">
        <f>"1994-06-23"</f>
        <v>1994-06-23</v>
      </c>
      <c r="I610" s="6"/>
    </row>
    <row r="611" s="1" customFormat="1" ht="30" customHeight="1" spans="1:9">
      <c r="A611" s="6">
        <v>609</v>
      </c>
      <c r="B611" s="6" t="str">
        <f>"48712023020621392027331"</f>
        <v>48712023020621392027331</v>
      </c>
      <c r="C611" s="6" t="str">
        <f t="shared" si="130"/>
        <v>0201</v>
      </c>
      <c r="D611" s="6" t="s">
        <v>12</v>
      </c>
      <c r="E611" s="6" t="s">
        <v>13</v>
      </c>
      <c r="F611" s="6" t="str">
        <f>"陈才华"</f>
        <v>陈才华</v>
      </c>
      <c r="G611" s="6" t="str">
        <f>"男"</f>
        <v>男</v>
      </c>
      <c r="H611" s="6" t="str">
        <f>"1997-10-10"</f>
        <v>1997-10-10</v>
      </c>
      <c r="I611" s="6"/>
    </row>
    <row r="612" s="1" customFormat="1" ht="30" customHeight="1" spans="1:9">
      <c r="A612" s="6">
        <v>610</v>
      </c>
      <c r="B612" s="6" t="str">
        <f>"48712023020622283127354"</f>
        <v>48712023020622283127354</v>
      </c>
      <c r="C612" s="6" t="str">
        <f t="shared" si="130"/>
        <v>0201</v>
      </c>
      <c r="D612" s="6" t="s">
        <v>12</v>
      </c>
      <c r="E612" s="6" t="s">
        <v>13</v>
      </c>
      <c r="F612" s="6" t="str">
        <f>"陈珍娇"</f>
        <v>陈珍娇</v>
      </c>
      <c r="G612" s="6" t="str">
        <f t="shared" ref="G612:G622" si="139">"女"</f>
        <v>女</v>
      </c>
      <c r="H612" s="6" t="str">
        <f>"1995-06-20"</f>
        <v>1995-06-20</v>
      </c>
      <c r="I612" s="6"/>
    </row>
    <row r="613" s="1" customFormat="1" ht="30" customHeight="1" spans="1:9">
      <c r="A613" s="6">
        <v>611</v>
      </c>
      <c r="B613" s="6" t="str">
        <f>"48712023020623110527374"</f>
        <v>48712023020623110527374</v>
      </c>
      <c r="C613" s="6" t="str">
        <f t="shared" si="130"/>
        <v>0201</v>
      </c>
      <c r="D613" s="6" t="s">
        <v>12</v>
      </c>
      <c r="E613" s="6" t="s">
        <v>13</v>
      </c>
      <c r="F613" s="6" t="str">
        <f>"黄春香"</f>
        <v>黄春香</v>
      </c>
      <c r="G613" s="6" t="str">
        <f t="shared" si="139"/>
        <v>女</v>
      </c>
      <c r="H613" s="6" t="str">
        <f>"2000-01-13"</f>
        <v>2000-01-13</v>
      </c>
      <c r="I613" s="6"/>
    </row>
    <row r="614" s="1" customFormat="1" ht="30" customHeight="1" spans="1:9">
      <c r="A614" s="6">
        <v>612</v>
      </c>
      <c r="B614" s="6" t="str">
        <f>"48712023020623544627385"</f>
        <v>48712023020623544627385</v>
      </c>
      <c r="C614" s="6" t="str">
        <f t="shared" si="130"/>
        <v>0201</v>
      </c>
      <c r="D614" s="6" t="s">
        <v>12</v>
      </c>
      <c r="E614" s="6" t="s">
        <v>13</v>
      </c>
      <c r="F614" s="6" t="str">
        <f>"唐惠琳"</f>
        <v>唐惠琳</v>
      </c>
      <c r="G614" s="6" t="str">
        <f t="shared" si="139"/>
        <v>女</v>
      </c>
      <c r="H614" s="6" t="str">
        <f>"1997-07-09"</f>
        <v>1997-07-09</v>
      </c>
      <c r="I614" s="6"/>
    </row>
    <row r="615" s="1" customFormat="1" ht="30" customHeight="1" spans="1:9">
      <c r="A615" s="6">
        <v>613</v>
      </c>
      <c r="B615" s="6" t="str">
        <f>"48712023020700012527388"</f>
        <v>48712023020700012527388</v>
      </c>
      <c r="C615" s="6" t="str">
        <f t="shared" si="130"/>
        <v>0201</v>
      </c>
      <c r="D615" s="6" t="s">
        <v>12</v>
      </c>
      <c r="E615" s="6" t="s">
        <v>13</v>
      </c>
      <c r="F615" s="6" t="str">
        <f>"王洁"</f>
        <v>王洁</v>
      </c>
      <c r="G615" s="6" t="str">
        <f t="shared" si="139"/>
        <v>女</v>
      </c>
      <c r="H615" s="6" t="str">
        <f>"1995-09-20"</f>
        <v>1995-09-20</v>
      </c>
      <c r="I615" s="6"/>
    </row>
    <row r="616" s="1" customFormat="1" ht="30" customHeight="1" spans="1:9">
      <c r="A616" s="6">
        <v>614</v>
      </c>
      <c r="B616" s="6" t="str">
        <f>"48712023020700195927394"</f>
        <v>48712023020700195927394</v>
      </c>
      <c r="C616" s="6" t="str">
        <f t="shared" si="130"/>
        <v>0201</v>
      </c>
      <c r="D616" s="6" t="s">
        <v>12</v>
      </c>
      <c r="E616" s="6" t="s">
        <v>13</v>
      </c>
      <c r="F616" s="6" t="str">
        <f>"王小翠"</f>
        <v>王小翠</v>
      </c>
      <c r="G616" s="6" t="str">
        <f t="shared" si="139"/>
        <v>女</v>
      </c>
      <c r="H616" s="6" t="str">
        <f>"1997-01-01"</f>
        <v>1997-01-01</v>
      </c>
      <c r="I616" s="6"/>
    </row>
    <row r="617" s="1" customFormat="1" ht="30" customHeight="1" spans="1:9">
      <c r="A617" s="6">
        <v>615</v>
      </c>
      <c r="B617" s="6" t="str">
        <f>"48712023020700342427395"</f>
        <v>48712023020700342427395</v>
      </c>
      <c r="C617" s="6" t="str">
        <f t="shared" si="130"/>
        <v>0201</v>
      </c>
      <c r="D617" s="6" t="s">
        <v>12</v>
      </c>
      <c r="E617" s="6" t="s">
        <v>13</v>
      </c>
      <c r="F617" s="6" t="str">
        <f>"王茹"</f>
        <v>王茹</v>
      </c>
      <c r="G617" s="6" t="str">
        <f t="shared" si="139"/>
        <v>女</v>
      </c>
      <c r="H617" s="6" t="str">
        <f>"1999-05-20"</f>
        <v>1999-05-20</v>
      </c>
      <c r="I617" s="6"/>
    </row>
    <row r="618" s="1" customFormat="1" ht="30" customHeight="1" spans="1:9">
      <c r="A618" s="6">
        <v>616</v>
      </c>
      <c r="B618" s="6" t="str">
        <f>"48712023020708212527414"</f>
        <v>48712023020708212527414</v>
      </c>
      <c r="C618" s="6" t="str">
        <f t="shared" si="130"/>
        <v>0201</v>
      </c>
      <c r="D618" s="6" t="s">
        <v>12</v>
      </c>
      <c r="E618" s="6" t="s">
        <v>13</v>
      </c>
      <c r="F618" s="6" t="str">
        <f>"华子琼"</f>
        <v>华子琼</v>
      </c>
      <c r="G618" s="6" t="str">
        <f t="shared" si="139"/>
        <v>女</v>
      </c>
      <c r="H618" s="6" t="str">
        <f>"2000-07-22"</f>
        <v>2000-07-22</v>
      </c>
      <c r="I618" s="6"/>
    </row>
    <row r="619" s="1" customFormat="1" ht="30" customHeight="1" spans="1:9">
      <c r="A619" s="6">
        <v>617</v>
      </c>
      <c r="B619" s="6" t="str">
        <f>"48712023020708241327415"</f>
        <v>48712023020708241327415</v>
      </c>
      <c r="C619" s="6" t="str">
        <f t="shared" si="130"/>
        <v>0201</v>
      </c>
      <c r="D619" s="6" t="s">
        <v>12</v>
      </c>
      <c r="E619" s="6" t="s">
        <v>13</v>
      </c>
      <c r="F619" s="6" t="str">
        <f>"周芷伊"</f>
        <v>周芷伊</v>
      </c>
      <c r="G619" s="6" t="str">
        <f t="shared" si="139"/>
        <v>女</v>
      </c>
      <c r="H619" s="6" t="str">
        <f>"1998-08-16"</f>
        <v>1998-08-16</v>
      </c>
      <c r="I619" s="6"/>
    </row>
    <row r="620" s="1" customFormat="1" ht="30" customHeight="1" spans="1:9">
      <c r="A620" s="6">
        <v>618</v>
      </c>
      <c r="B620" s="6" t="str">
        <f>"48712023020709011727428"</f>
        <v>48712023020709011727428</v>
      </c>
      <c r="C620" s="6" t="str">
        <f t="shared" si="130"/>
        <v>0201</v>
      </c>
      <c r="D620" s="6" t="s">
        <v>12</v>
      </c>
      <c r="E620" s="6" t="s">
        <v>13</v>
      </c>
      <c r="F620" s="6" t="str">
        <f>"吴京芷"</f>
        <v>吴京芷</v>
      </c>
      <c r="G620" s="6" t="str">
        <f t="shared" si="139"/>
        <v>女</v>
      </c>
      <c r="H620" s="6" t="str">
        <f>"1995-06-10"</f>
        <v>1995-06-10</v>
      </c>
      <c r="I620" s="6"/>
    </row>
    <row r="621" s="1" customFormat="1" ht="30" customHeight="1" spans="1:9">
      <c r="A621" s="6">
        <v>619</v>
      </c>
      <c r="B621" s="6" t="str">
        <f>"48712023020709233027445"</f>
        <v>48712023020709233027445</v>
      </c>
      <c r="C621" s="6" t="str">
        <f t="shared" ref="C621:C632" si="140">"0201"</f>
        <v>0201</v>
      </c>
      <c r="D621" s="6" t="s">
        <v>12</v>
      </c>
      <c r="E621" s="6" t="s">
        <v>13</v>
      </c>
      <c r="F621" s="6" t="str">
        <f>"张曼"</f>
        <v>张曼</v>
      </c>
      <c r="G621" s="6" t="str">
        <f t="shared" si="139"/>
        <v>女</v>
      </c>
      <c r="H621" s="6" t="str">
        <f>"1997-03-04"</f>
        <v>1997-03-04</v>
      </c>
      <c r="I621" s="6"/>
    </row>
    <row r="622" s="1" customFormat="1" ht="30" customHeight="1" spans="1:9">
      <c r="A622" s="6">
        <v>620</v>
      </c>
      <c r="B622" s="6" t="str">
        <f>"48712023020709253727447"</f>
        <v>48712023020709253727447</v>
      </c>
      <c r="C622" s="6" t="str">
        <f t="shared" si="140"/>
        <v>0201</v>
      </c>
      <c r="D622" s="6" t="s">
        <v>12</v>
      </c>
      <c r="E622" s="6" t="s">
        <v>13</v>
      </c>
      <c r="F622" s="6" t="str">
        <f>"唐言"</f>
        <v>唐言</v>
      </c>
      <c r="G622" s="6" t="str">
        <f t="shared" si="139"/>
        <v>女</v>
      </c>
      <c r="H622" s="6" t="str">
        <f>"1999-11-22"</f>
        <v>1999-11-22</v>
      </c>
      <c r="I622" s="6"/>
    </row>
    <row r="623" s="1" customFormat="1" ht="30" customHeight="1" spans="1:9">
      <c r="A623" s="6">
        <v>621</v>
      </c>
      <c r="B623" s="6" t="str">
        <f>"48712023020709461127455"</f>
        <v>48712023020709461127455</v>
      </c>
      <c r="C623" s="6" t="str">
        <f t="shared" si="140"/>
        <v>0201</v>
      </c>
      <c r="D623" s="6" t="s">
        <v>12</v>
      </c>
      <c r="E623" s="6" t="s">
        <v>13</v>
      </c>
      <c r="F623" s="6" t="str">
        <f>"罗九天"</f>
        <v>罗九天</v>
      </c>
      <c r="G623" s="6" t="str">
        <f>"男"</f>
        <v>男</v>
      </c>
      <c r="H623" s="6" t="str">
        <f>"1989-11-02"</f>
        <v>1989-11-02</v>
      </c>
      <c r="I623" s="6"/>
    </row>
    <row r="624" s="1" customFormat="1" ht="30" customHeight="1" spans="1:9">
      <c r="A624" s="6">
        <v>622</v>
      </c>
      <c r="B624" s="6" t="str">
        <f>"48712023020709552927460"</f>
        <v>48712023020709552927460</v>
      </c>
      <c r="C624" s="6" t="str">
        <f t="shared" si="140"/>
        <v>0201</v>
      </c>
      <c r="D624" s="6" t="s">
        <v>12</v>
      </c>
      <c r="E624" s="6" t="s">
        <v>13</v>
      </c>
      <c r="F624" s="6" t="str">
        <f>"郭国琪"</f>
        <v>郭国琪</v>
      </c>
      <c r="G624" s="6" t="str">
        <f t="shared" ref="G624:G626" si="141">"女"</f>
        <v>女</v>
      </c>
      <c r="H624" s="6" t="str">
        <f>"1998-04-18"</f>
        <v>1998-04-18</v>
      </c>
      <c r="I624" s="6"/>
    </row>
    <row r="625" s="1" customFormat="1" ht="30" customHeight="1" spans="1:9">
      <c r="A625" s="6">
        <v>623</v>
      </c>
      <c r="B625" s="6" t="str">
        <f>"48712023020709583427461"</f>
        <v>48712023020709583427461</v>
      </c>
      <c r="C625" s="6" t="str">
        <f t="shared" si="140"/>
        <v>0201</v>
      </c>
      <c r="D625" s="6" t="s">
        <v>12</v>
      </c>
      <c r="E625" s="6" t="s">
        <v>13</v>
      </c>
      <c r="F625" s="6" t="str">
        <f>"陈福娟"</f>
        <v>陈福娟</v>
      </c>
      <c r="G625" s="6" t="str">
        <f t="shared" si="141"/>
        <v>女</v>
      </c>
      <c r="H625" s="6" t="str">
        <f>"1997-11-14"</f>
        <v>1997-11-14</v>
      </c>
      <c r="I625" s="6"/>
    </row>
    <row r="626" s="1" customFormat="1" ht="30" customHeight="1" spans="1:9">
      <c r="A626" s="6">
        <v>624</v>
      </c>
      <c r="B626" s="6" t="str">
        <f>"48712023020710440627484"</f>
        <v>48712023020710440627484</v>
      </c>
      <c r="C626" s="6" t="str">
        <f t="shared" si="140"/>
        <v>0201</v>
      </c>
      <c r="D626" s="6" t="s">
        <v>12</v>
      </c>
      <c r="E626" s="6" t="s">
        <v>13</v>
      </c>
      <c r="F626" s="6" t="str">
        <f>"杨梅"</f>
        <v>杨梅</v>
      </c>
      <c r="G626" s="6" t="str">
        <f t="shared" si="141"/>
        <v>女</v>
      </c>
      <c r="H626" s="6" t="str">
        <f>"1987-05-02"</f>
        <v>1987-05-02</v>
      </c>
      <c r="I626" s="6"/>
    </row>
    <row r="627" s="1" customFormat="1" ht="30" customHeight="1" spans="1:9">
      <c r="A627" s="6">
        <v>625</v>
      </c>
      <c r="B627" s="6" t="str">
        <f>"48712023020710563927491"</f>
        <v>48712023020710563927491</v>
      </c>
      <c r="C627" s="6" t="str">
        <f t="shared" si="140"/>
        <v>0201</v>
      </c>
      <c r="D627" s="6" t="s">
        <v>12</v>
      </c>
      <c r="E627" s="6" t="s">
        <v>13</v>
      </c>
      <c r="F627" s="6" t="str">
        <f>"黎壮林"</f>
        <v>黎壮林</v>
      </c>
      <c r="G627" s="6" t="str">
        <f>"男"</f>
        <v>男</v>
      </c>
      <c r="H627" s="6" t="str">
        <f>"1991-01-10"</f>
        <v>1991-01-10</v>
      </c>
      <c r="I627" s="6"/>
    </row>
    <row r="628" s="1" customFormat="1" ht="30" customHeight="1" spans="1:9">
      <c r="A628" s="6">
        <v>626</v>
      </c>
      <c r="B628" s="6" t="str">
        <f>"48712023020710580927494"</f>
        <v>48712023020710580927494</v>
      </c>
      <c r="C628" s="6" t="str">
        <f t="shared" si="140"/>
        <v>0201</v>
      </c>
      <c r="D628" s="6" t="s">
        <v>12</v>
      </c>
      <c r="E628" s="6" t="s">
        <v>13</v>
      </c>
      <c r="F628" s="6" t="str">
        <f>"李川丁"</f>
        <v>李川丁</v>
      </c>
      <c r="G628" s="6" t="str">
        <f t="shared" ref="G628:G634" si="142">"女"</f>
        <v>女</v>
      </c>
      <c r="H628" s="6" t="str">
        <f>"1999-09-27"</f>
        <v>1999-09-27</v>
      </c>
      <c r="I628" s="6"/>
    </row>
    <row r="629" s="1" customFormat="1" ht="30" customHeight="1" spans="1:9">
      <c r="A629" s="6">
        <v>627</v>
      </c>
      <c r="B629" s="6" t="str">
        <f>"48712023020711000627498"</f>
        <v>48712023020711000627498</v>
      </c>
      <c r="C629" s="6" t="str">
        <f t="shared" si="140"/>
        <v>0201</v>
      </c>
      <c r="D629" s="6" t="s">
        <v>12</v>
      </c>
      <c r="E629" s="6" t="s">
        <v>13</v>
      </c>
      <c r="F629" s="6" t="str">
        <f>"刘瑾"</f>
        <v>刘瑾</v>
      </c>
      <c r="G629" s="6" t="str">
        <f t="shared" si="142"/>
        <v>女</v>
      </c>
      <c r="H629" s="6" t="str">
        <f>"1995-01-09"</f>
        <v>1995-01-09</v>
      </c>
      <c r="I629" s="6"/>
    </row>
    <row r="630" s="1" customFormat="1" ht="30" customHeight="1" spans="1:9">
      <c r="A630" s="6">
        <v>628</v>
      </c>
      <c r="B630" s="6" t="str">
        <f>"48712023020711245027514"</f>
        <v>48712023020711245027514</v>
      </c>
      <c r="C630" s="6" t="str">
        <f t="shared" si="140"/>
        <v>0201</v>
      </c>
      <c r="D630" s="6" t="s">
        <v>12</v>
      </c>
      <c r="E630" s="6" t="s">
        <v>13</v>
      </c>
      <c r="F630" s="6" t="str">
        <f>"倪晓芬"</f>
        <v>倪晓芬</v>
      </c>
      <c r="G630" s="6" t="str">
        <f t="shared" si="142"/>
        <v>女</v>
      </c>
      <c r="H630" s="6" t="str">
        <f>"1991-01-10"</f>
        <v>1991-01-10</v>
      </c>
      <c r="I630" s="6"/>
    </row>
    <row r="631" s="1" customFormat="1" ht="30" customHeight="1" spans="1:9">
      <c r="A631" s="6">
        <v>629</v>
      </c>
      <c r="B631" s="6" t="str">
        <f>"48712023020711253227515"</f>
        <v>48712023020711253227515</v>
      </c>
      <c r="C631" s="6" t="str">
        <f t="shared" si="140"/>
        <v>0201</v>
      </c>
      <c r="D631" s="6" t="s">
        <v>12</v>
      </c>
      <c r="E631" s="6" t="s">
        <v>13</v>
      </c>
      <c r="F631" s="6" t="str">
        <f>"王雪颖"</f>
        <v>王雪颖</v>
      </c>
      <c r="G631" s="6" t="str">
        <f t="shared" si="142"/>
        <v>女</v>
      </c>
      <c r="H631" s="6" t="str">
        <f>"1996-11-09"</f>
        <v>1996-11-09</v>
      </c>
      <c r="I631" s="6"/>
    </row>
    <row r="632" s="1" customFormat="1" ht="30" customHeight="1" spans="1:9">
      <c r="A632" s="6">
        <v>630</v>
      </c>
      <c r="B632" s="6" t="str">
        <f>"48712023020711362127518"</f>
        <v>48712023020711362127518</v>
      </c>
      <c r="C632" s="6" t="str">
        <f t="shared" si="140"/>
        <v>0201</v>
      </c>
      <c r="D632" s="6" t="s">
        <v>12</v>
      </c>
      <c r="E632" s="6" t="s">
        <v>13</v>
      </c>
      <c r="F632" s="6" t="str">
        <f>"曾灿灿"</f>
        <v>曾灿灿</v>
      </c>
      <c r="G632" s="6" t="str">
        <f t="shared" si="142"/>
        <v>女</v>
      </c>
      <c r="H632" s="6" t="str">
        <f>"1998-06-23"</f>
        <v>1998-06-23</v>
      </c>
      <c r="I632" s="6"/>
    </row>
    <row r="633" s="1" customFormat="1" ht="30" customHeight="1" spans="1:9">
      <c r="A633" s="6">
        <v>631</v>
      </c>
      <c r="B633" s="6" t="str">
        <f>"48712023013009075912002"</f>
        <v>48712023013009075912002</v>
      </c>
      <c r="C633" s="6" t="str">
        <f t="shared" ref="C633:C662" si="143">"0202"</f>
        <v>0202</v>
      </c>
      <c r="D633" s="6" t="s">
        <v>12</v>
      </c>
      <c r="E633" s="6" t="s">
        <v>14</v>
      </c>
      <c r="F633" s="6" t="str">
        <f>"林玉淑"</f>
        <v>林玉淑</v>
      </c>
      <c r="G633" s="6" t="str">
        <f t="shared" si="142"/>
        <v>女</v>
      </c>
      <c r="H633" s="6" t="str">
        <f>"1999-02-10"</f>
        <v>1999-02-10</v>
      </c>
      <c r="I633" s="6"/>
    </row>
    <row r="634" s="1" customFormat="1" ht="30" customHeight="1" spans="1:9">
      <c r="A634" s="6">
        <v>632</v>
      </c>
      <c r="B634" s="6" t="str">
        <f>"48712023013009391412043"</f>
        <v>48712023013009391412043</v>
      </c>
      <c r="C634" s="6" t="str">
        <f t="shared" si="143"/>
        <v>0202</v>
      </c>
      <c r="D634" s="6" t="s">
        <v>12</v>
      </c>
      <c r="E634" s="6" t="s">
        <v>14</v>
      </c>
      <c r="F634" s="6" t="str">
        <f>"陈澳"</f>
        <v>陈澳</v>
      </c>
      <c r="G634" s="6" t="str">
        <f t="shared" si="142"/>
        <v>女</v>
      </c>
      <c r="H634" s="6" t="str">
        <f>"2000-01-04"</f>
        <v>2000-01-04</v>
      </c>
      <c r="I634" s="6"/>
    </row>
    <row r="635" s="1" customFormat="1" ht="30" customHeight="1" spans="1:9">
      <c r="A635" s="6">
        <v>633</v>
      </c>
      <c r="B635" s="6" t="str">
        <f>"48712023013009435512048"</f>
        <v>48712023013009435512048</v>
      </c>
      <c r="C635" s="6" t="str">
        <f t="shared" si="143"/>
        <v>0202</v>
      </c>
      <c r="D635" s="6" t="s">
        <v>12</v>
      </c>
      <c r="E635" s="6" t="s">
        <v>14</v>
      </c>
      <c r="F635" s="6" t="str">
        <f>"邱国上"</f>
        <v>邱国上</v>
      </c>
      <c r="G635" s="6" t="str">
        <f t="shared" ref="G635:G640" si="144">"男"</f>
        <v>男</v>
      </c>
      <c r="H635" s="6" t="str">
        <f>"2000-02-21"</f>
        <v>2000-02-21</v>
      </c>
      <c r="I635" s="6"/>
    </row>
    <row r="636" s="1" customFormat="1" ht="30" customHeight="1" spans="1:9">
      <c r="A636" s="6">
        <v>634</v>
      </c>
      <c r="B636" s="6" t="str">
        <f>"48712023013009485312056"</f>
        <v>48712023013009485312056</v>
      </c>
      <c r="C636" s="6" t="str">
        <f t="shared" si="143"/>
        <v>0202</v>
      </c>
      <c r="D636" s="6" t="s">
        <v>12</v>
      </c>
      <c r="E636" s="6" t="s">
        <v>14</v>
      </c>
      <c r="F636" s="6" t="str">
        <f>"姜杨"</f>
        <v>姜杨</v>
      </c>
      <c r="G636" s="6" t="str">
        <f t="shared" si="144"/>
        <v>男</v>
      </c>
      <c r="H636" s="6" t="str">
        <f>"2000-03-07"</f>
        <v>2000-03-07</v>
      </c>
      <c r="I636" s="6"/>
    </row>
    <row r="637" s="1" customFormat="1" ht="30" customHeight="1" spans="1:9">
      <c r="A637" s="6">
        <v>635</v>
      </c>
      <c r="B637" s="6" t="str">
        <f>"48712023013010281612119"</f>
        <v>48712023013010281612119</v>
      </c>
      <c r="C637" s="6" t="str">
        <f t="shared" si="143"/>
        <v>0202</v>
      </c>
      <c r="D637" s="6" t="s">
        <v>12</v>
      </c>
      <c r="E637" s="6" t="s">
        <v>14</v>
      </c>
      <c r="F637" s="6" t="str">
        <f>"蔺宇新"</f>
        <v>蔺宇新</v>
      </c>
      <c r="G637" s="6" t="str">
        <f t="shared" si="144"/>
        <v>男</v>
      </c>
      <c r="H637" s="6" t="str">
        <f>"1999-01-20"</f>
        <v>1999-01-20</v>
      </c>
      <c r="I637" s="6"/>
    </row>
    <row r="638" s="1" customFormat="1" ht="30" customHeight="1" spans="1:9">
      <c r="A638" s="6">
        <v>636</v>
      </c>
      <c r="B638" s="6" t="str">
        <f>"48712023013010495912150"</f>
        <v>48712023013010495912150</v>
      </c>
      <c r="C638" s="6" t="str">
        <f t="shared" si="143"/>
        <v>0202</v>
      </c>
      <c r="D638" s="6" t="s">
        <v>12</v>
      </c>
      <c r="E638" s="6" t="s">
        <v>14</v>
      </c>
      <c r="F638" s="6" t="str">
        <f>"吴海军"</f>
        <v>吴海军</v>
      </c>
      <c r="G638" s="6" t="str">
        <f t="shared" si="144"/>
        <v>男</v>
      </c>
      <c r="H638" s="6" t="str">
        <f>"1998-06-25"</f>
        <v>1998-06-25</v>
      </c>
      <c r="I638" s="6"/>
    </row>
    <row r="639" s="1" customFormat="1" ht="30" customHeight="1" spans="1:9">
      <c r="A639" s="6">
        <v>637</v>
      </c>
      <c r="B639" s="6" t="str">
        <f>"48712023013014081412348"</f>
        <v>48712023013014081412348</v>
      </c>
      <c r="C639" s="6" t="str">
        <f t="shared" si="143"/>
        <v>0202</v>
      </c>
      <c r="D639" s="6" t="s">
        <v>12</v>
      </c>
      <c r="E639" s="6" t="s">
        <v>14</v>
      </c>
      <c r="F639" s="6" t="str">
        <f>"陈少毅"</f>
        <v>陈少毅</v>
      </c>
      <c r="G639" s="6" t="str">
        <f t="shared" si="144"/>
        <v>男</v>
      </c>
      <c r="H639" s="6" t="str">
        <f>"1998-10-16"</f>
        <v>1998-10-16</v>
      </c>
      <c r="I639" s="6"/>
    </row>
    <row r="640" s="1" customFormat="1" ht="30" customHeight="1" spans="1:9">
      <c r="A640" s="6">
        <v>638</v>
      </c>
      <c r="B640" s="6" t="str">
        <f>"48712023013014232812363"</f>
        <v>48712023013014232812363</v>
      </c>
      <c r="C640" s="6" t="str">
        <f t="shared" si="143"/>
        <v>0202</v>
      </c>
      <c r="D640" s="6" t="s">
        <v>12</v>
      </c>
      <c r="E640" s="6" t="s">
        <v>14</v>
      </c>
      <c r="F640" s="6" t="str">
        <f>"王力辉"</f>
        <v>王力辉</v>
      </c>
      <c r="G640" s="6" t="str">
        <f t="shared" si="144"/>
        <v>男</v>
      </c>
      <c r="H640" s="6" t="str">
        <f>"2000-05-16"</f>
        <v>2000-05-16</v>
      </c>
      <c r="I640" s="6"/>
    </row>
    <row r="641" s="1" customFormat="1" ht="30" customHeight="1" spans="1:9">
      <c r="A641" s="6">
        <v>639</v>
      </c>
      <c r="B641" s="6" t="str">
        <f>"48712023013015044112412"</f>
        <v>48712023013015044112412</v>
      </c>
      <c r="C641" s="6" t="str">
        <f t="shared" si="143"/>
        <v>0202</v>
      </c>
      <c r="D641" s="6" t="s">
        <v>12</v>
      </c>
      <c r="E641" s="6" t="s">
        <v>14</v>
      </c>
      <c r="F641" s="6" t="str">
        <f>"曾雅菲"</f>
        <v>曾雅菲</v>
      </c>
      <c r="G641" s="6" t="str">
        <f t="shared" ref="G641:G643" si="145">"女"</f>
        <v>女</v>
      </c>
      <c r="H641" s="6" t="str">
        <f>"2000-01-21"</f>
        <v>2000-01-21</v>
      </c>
      <c r="I641" s="6"/>
    </row>
    <row r="642" s="1" customFormat="1" ht="30" customHeight="1" spans="1:9">
      <c r="A642" s="6">
        <v>640</v>
      </c>
      <c r="B642" s="6" t="str">
        <f>"48712023013015451912462"</f>
        <v>48712023013015451912462</v>
      </c>
      <c r="C642" s="6" t="str">
        <f t="shared" si="143"/>
        <v>0202</v>
      </c>
      <c r="D642" s="6" t="s">
        <v>12</v>
      </c>
      <c r="E642" s="6" t="s">
        <v>14</v>
      </c>
      <c r="F642" s="6" t="str">
        <f>"石琳芝"</f>
        <v>石琳芝</v>
      </c>
      <c r="G642" s="6" t="str">
        <f t="shared" si="145"/>
        <v>女</v>
      </c>
      <c r="H642" s="6" t="str">
        <f>"1997-07-16"</f>
        <v>1997-07-16</v>
      </c>
      <c r="I642" s="6"/>
    </row>
    <row r="643" s="1" customFormat="1" ht="30" customHeight="1" spans="1:9">
      <c r="A643" s="6">
        <v>641</v>
      </c>
      <c r="B643" s="6" t="str">
        <f>"48712023013019530012722"</f>
        <v>48712023013019530012722</v>
      </c>
      <c r="C643" s="6" t="str">
        <f t="shared" si="143"/>
        <v>0202</v>
      </c>
      <c r="D643" s="6" t="s">
        <v>12</v>
      </c>
      <c r="E643" s="6" t="s">
        <v>14</v>
      </c>
      <c r="F643" s="6" t="str">
        <f>"陈佳颖"</f>
        <v>陈佳颖</v>
      </c>
      <c r="G643" s="6" t="str">
        <f t="shared" si="145"/>
        <v>女</v>
      </c>
      <c r="H643" s="6" t="str">
        <f>"1998-06-15"</f>
        <v>1998-06-15</v>
      </c>
      <c r="I643" s="6"/>
    </row>
    <row r="644" s="1" customFormat="1" ht="30" customHeight="1" spans="1:9">
      <c r="A644" s="6">
        <v>642</v>
      </c>
      <c r="B644" s="6" t="str">
        <f>"48712023013019545312725"</f>
        <v>48712023013019545312725</v>
      </c>
      <c r="C644" s="6" t="str">
        <f t="shared" si="143"/>
        <v>0202</v>
      </c>
      <c r="D644" s="6" t="s">
        <v>12</v>
      </c>
      <c r="E644" s="6" t="s">
        <v>14</v>
      </c>
      <c r="F644" s="6" t="str">
        <f>"陈公满"</f>
        <v>陈公满</v>
      </c>
      <c r="G644" s="6" t="str">
        <f>"男"</f>
        <v>男</v>
      </c>
      <c r="H644" s="6" t="str">
        <f>"1997-10-05"</f>
        <v>1997-10-05</v>
      </c>
      <c r="I644" s="6"/>
    </row>
    <row r="645" s="1" customFormat="1" ht="30" customHeight="1" spans="1:9">
      <c r="A645" s="6">
        <v>643</v>
      </c>
      <c r="B645" s="6" t="str">
        <f>"48712023013023502712951"</f>
        <v>48712023013023502712951</v>
      </c>
      <c r="C645" s="6" t="str">
        <f t="shared" si="143"/>
        <v>0202</v>
      </c>
      <c r="D645" s="6" t="s">
        <v>12</v>
      </c>
      <c r="E645" s="6" t="s">
        <v>14</v>
      </c>
      <c r="F645" s="6" t="str">
        <f>"林桐"</f>
        <v>林桐</v>
      </c>
      <c r="G645" s="6" t="str">
        <f t="shared" ref="G645:G648" si="146">"女"</f>
        <v>女</v>
      </c>
      <c r="H645" s="6" t="str">
        <f>"1999-11-26"</f>
        <v>1999-11-26</v>
      </c>
      <c r="I645" s="6"/>
    </row>
    <row r="646" s="1" customFormat="1" ht="30" customHeight="1" spans="1:9">
      <c r="A646" s="6">
        <v>644</v>
      </c>
      <c r="B646" s="6" t="str">
        <f>"48712023013110383913122"</f>
        <v>48712023013110383913122</v>
      </c>
      <c r="C646" s="6" t="str">
        <f t="shared" si="143"/>
        <v>0202</v>
      </c>
      <c r="D646" s="6" t="s">
        <v>12</v>
      </c>
      <c r="E646" s="6" t="s">
        <v>14</v>
      </c>
      <c r="F646" s="6" t="str">
        <f>"陈丁盈"</f>
        <v>陈丁盈</v>
      </c>
      <c r="G646" s="6" t="str">
        <f t="shared" si="146"/>
        <v>女</v>
      </c>
      <c r="H646" s="6" t="str">
        <f>"1999-01-12"</f>
        <v>1999-01-12</v>
      </c>
      <c r="I646" s="6"/>
    </row>
    <row r="647" s="1" customFormat="1" ht="30" customHeight="1" spans="1:9">
      <c r="A647" s="6">
        <v>645</v>
      </c>
      <c r="B647" s="6" t="str">
        <f>"48712023013114532913405"</f>
        <v>48712023013114532913405</v>
      </c>
      <c r="C647" s="6" t="str">
        <f t="shared" si="143"/>
        <v>0202</v>
      </c>
      <c r="D647" s="6" t="s">
        <v>12</v>
      </c>
      <c r="E647" s="6" t="s">
        <v>14</v>
      </c>
      <c r="F647" s="6" t="str">
        <f>"符火苗"</f>
        <v>符火苗</v>
      </c>
      <c r="G647" s="6" t="str">
        <f t="shared" si="146"/>
        <v>女</v>
      </c>
      <c r="H647" s="6" t="str">
        <f>"1999-06-06"</f>
        <v>1999-06-06</v>
      </c>
      <c r="I647" s="6"/>
    </row>
    <row r="648" s="1" customFormat="1" ht="30" customHeight="1" spans="1:9">
      <c r="A648" s="6">
        <v>646</v>
      </c>
      <c r="B648" s="6" t="str">
        <f>"48712023013120251313686"</f>
        <v>48712023013120251313686</v>
      </c>
      <c r="C648" s="6" t="str">
        <f t="shared" si="143"/>
        <v>0202</v>
      </c>
      <c r="D648" s="6" t="s">
        <v>12</v>
      </c>
      <c r="E648" s="6" t="s">
        <v>14</v>
      </c>
      <c r="F648" s="6" t="str">
        <f>"张圆"</f>
        <v>张圆</v>
      </c>
      <c r="G648" s="6" t="str">
        <f t="shared" si="146"/>
        <v>女</v>
      </c>
      <c r="H648" s="6" t="str">
        <f>"2000-09-15"</f>
        <v>2000-09-15</v>
      </c>
      <c r="I648" s="6"/>
    </row>
    <row r="649" s="1" customFormat="1" ht="30" customHeight="1" spans="1:9">
      <c r="A649" s="6">
        <v>647</v>
      </c>
      <c r="B649" s="6" t="str">
        <f>"48712023013122484913760"</f>
        <v>48712023013122484913760</v>
      </c>
      <c r="C649" s="6" t="str">
        <f t="shared" si="143"/>
        <v>0202</v>
      </c>
      <c r="D649" s="6" t="s">
        <v>12</v>
      </c>
      <c r="E649" s="6" t="s">
        <v>14</v>
      </c>
      <c r="F649" s="6" t="str">
        <f>"林志敏"</f>
        <v>林志敏</v>
      </c>
      <c r="G649" s="6" t="str">
        <f>"男"</f>
        <v>男</v>
      </c>
      <c r="H649" s="6" t="str">
        <f>"1999-03-19"</f>
        <v>1999-03-19</v>
      </c>
      <c r="I649" s="6"/>
    </row>
    <row r="650" s="1" customFormat="1" ht="30" customHeight="1" spans="1:9">
      <c r="A650" s="6">
        <v>648</v>
      </c>
      <c r="B650" s="6" t="str">
        <f>"48712023020109405314091"</f>
        <v>48712023020109405314091</v>
      </c>
      <c r="C650" s="6" t="str">
        <f t="shared" si="143"/>
        <v>0202</v>
      </c>
      <c r="D650" s="6" t="s">
        <v>12</v>
      </c>
      <c r="E650" s="6" t="s">
        <v>14</v>
      </c>
      <c r="F650" s="6" t="str">
        <f>"赵羽娴"</f>
        <v>赵羽娴</v>
      </c>
      <c r="G650" s="6" t="str">
        <f t="shared" ref="G650:G655" si="147">"女"</f>
        <v>女</v>
      </c>
      <c r="H650" s="6" t="str">
        <f>"1999-08-11"</f>
        <v>1999-08-11</v>
      </c>
      <c r="I650" s="6"/>
    </row>
    <row r="651" s="1" customFormat="1" ht="30" customHeight="1" spans="1:9">
      <c r="A651" s="6">
        <v>649</v>
      </c>
      <c r="B651" s="6" t="str">
        <f>"48712023020110135614332"</f>
        <v>48712023020110135614332</v>
      </c>
      <c r="C651" s="6" t="str">
        <f t="shared" si="143"/>
        <v>0202</v>
      </c>
      <c r="D651" s="6" t="s">
        <v>12</v>
      </c>
      <c r="E651" s="6" t="s">
        <v>14</v>
      </c>
      <c r="F651" s="6" t="str">
        <f>"刘小艳"</f>
        <v>刘小艳</v>
      </c>
      <c r="G651" s="6" t="str">
        <f t="shared" si="147"/>
        <v>女</v>
      </c>
      <c r="H651" s="6" t="str">
        <f>"1999-02-28"</f>
        <v>1999-02-28</v>
      </c>
      <c r="I651" s="6"/>
    </row>
    <row r="652" s="1" customFormat="1" ht="30" customHeight="1" spans="1:9">
      <c r="A652" s="6">
        <v>650</v>
      </c>
      <c r="B652" s="6" t="str">
        <f>"48712023020116433216196"</f>
        <v>48712023020116433216196</v>
      </c>
      <c r="C652" s="6" t="str">
        <f t="shared" si="143"/>
        <v>0202</v>
      </c>
      <c r="D652" s="6" t="s">
        <v>12</v>
      </c>
      <c r="E652" s="6" t="s">
        <v>14</v>
      </c>
      <c r="F652" s="6" t="str">
        <f>"黄宏若"</f>
        <v>黄宏若</v>
      </c>
      <c r="G652" s="6" t="str">
        <f t="shared" si="147"/>
        <v>女</v>
      </c>
      <c r="H652" s="6" t="str">
        <f>"1996-02-15"</f>
        <v>1996-02-15</v>
      </c>
      <c r="I652" s="6"/>
    </row>
    <row r="653" s="1" customFormat="1" ht="30" customHeight="1" spans="1:9">
      <c r="A653" s="6">
        <v>651</v>
      </c>
      <c r="B653" s="6" t="str">
        <f>"48712023020117415816375"</f>
        <v>48712023020117415816375</v>
      </c>
      <c r="C653" s="6" t="str">
        <f t="shared" si="143"/>
        <v>0202</v>
      </c>
      <c r="D653" s="6" t="s">
        <v>12</v>
      </c>
      <c r="E653" s="6" t="s">
        <v>14</v>
      </c>
      <c r="F653" s="6" t="str">
        <f>"张思华"</f>
        <v>张思华</v>
      </c>
      <c r="G653" s="6" t="str">
        <f t="shared" si="147"/>
        <v>女</v>
      </c>
      <c r="H653" s="6" t="str">
        <f>"2000-10-06"</f>
        <v>2000-10-06</v>
      </c>
      <c r="I653" s="6"/>
    </row>
    <row r="654" s="1" customFormat="1" ht="30" customHeight="1" spans="1:9">
      <c r="A654" s="6">
        <v>652</v>
      </c>
      <c r="B654" s="6" t="str">
        <f>"48712023020121012016907"</f>
        <v>48712023020121012016907</v>
      </c>
      <c r="C654" s="6" t="str">
        <f t="shared" si="143"/>
        <v>0202</v>
      </c>
      <c r="D654" s="6" t="s">
        <v>12</v>
      </c>
      <c r="E654" s="6" t="s">
        <v>14</v>
      </c>
      <c r="F654" s="6" t="str">
        <f>"黄晓蕾"</f>
        <v>黄晓蕾</v>
      </c>
      <c r="G654" s="6" t="str">
        <f t="shared" si="147"/>
        <v>女</v>
      </c>
      <c r="H654" s="6" t="str">
        <f>"1997-07-28"</f>
        <v>1997-07-28</v>
      </c>
      <c r="I654" s="6"/>
    </row>
    <row r="655" s="1" customFormat="1" ht="30" customHeight="1" spans="1:9">
      <c r="A655" s="6">
        <v>653</v>
      </c>
      <c r="B655" s="6" t="str">
        <f>"48712023020411132621694"</f>
        <v>48712023020411132621694</v>
      </c>
      <c r="C655" s="6" t="str">
        <f t="shared" si="143"/>
        <v>0202</v>
      </c>
      <c r="D655" s="6" t="s">
        <v>12</v>
      </c>
      <c r="E655" s="6" t="s">
        <v>14</v>
      </c>
      <c r="F655" s="6" t="str">
        <f>"龙丁柔"</f>
        <v>龙丁柔</v>
      </c>
      <c r="G655" s="6" t="str">
        <f t="shared" si="147"/>
        <v>女</v>
      </c>
      <c r="H655" s="6" t="str">
        <f>"1997-09-06"</f>
        <v>1997-09-06</v>
      </c>
      <c r="I655" s="6"/>
    </row>
    <row r="656" s="1" customFormat="1" ht="30" customHeight="1" spans="1:9">
      <c r="A656" s="6">
        <v>654</v>
      </c>
      <c r="B656" s="6" t="str">
        <f>"48712023020412515421830"</f>
        <v>48712023020412515421830</v>
      </c>
      <c r="C656" s="6" t="str">
        <f t="shared" si="143"/>
        <v>0202</v>
      </c>
      <c r="D656" s="6" t="s">
        <v>12</v>
      </c>
      <c r="E656" s="6" t="s">
        <v>14</v>
      </c>
      <c r="F656" s="6" t="str">
        <f>"王必侯"</f>
        <v>王必侯</v>
      </c>
      <c r="G656" s="6" t="str">
        <f>"男"</f>
        <v>男</v>
      </c>
      <c r="H656" s="6" t="str">
        <f>"1998-04-03"</f>
        <v>1998-04-03</v>
      </c>
      <c r="I656" s="6"/>
    </row>
    <row r="657" s="1" customFormat="1" ht="30" customHeight="1" spans="1:9">
      <c r="A657" s="6">
        <v>655</v>
      </c>
      <c r="B657" s="6" t="str">
        <f>"48712023020413283221873"</f>
        <v>48712023020413283221873</v>
      </c>
      <c r="C657" s="6" t="str">
        <f t="shared" si="143"/>
        <v>0202</v>
      </c>
      <c r="D657" s="6" t="s">
        <v>12</v>
      </c>
      <c r="E657" s="6" t="s">
        <v>14</v>
      </c>
      <c r="F657" s="6" t="str">
        <f>"李小菲"</f>
        <v>李小菲</v>
      </c>
      <c r="G657" s="6" t="str">
        <f t="shared" ref="G657:G661" si="148">"女"</f>
        <v>女</v>
      </c>
      <c r="H657" s="6" t="str">
        <f>"1998-10-06"</f>
        <v>1998-10-06</v>
      </c>
      <c r="I657" s="6"/>
    </row>
    <row r="658" s="1" customFormat="1" ht="30" customHeight="1" spans="1:9">
      <c r="A658" s="6">
        <v>656</v>
      </c>
      <c r="B658" s="6" t="str">
        <f>"48712023020416245622157"</f>
        <v>48712023020416245622157</v>
      </c>
      <c r="C658" s="6" t="str">
        <f t="shared" si="143"/>
        <v>0202</v>
      </c>
      <c r="D658" s="6" t="s">
        <v>12</v>
      </c>
      <c r="E658" s="6" t="s">
        <v>14</v>
      </c>
      <c r="F658" s="6" t="str">
        <f>"朱琼"</f>
        <v>朱琼</v>
      </c>
      <c r="G658" s="6" t="str">
        <f t="shared" si="148"/>
        <v>女</v>
      </c>
      <c r="H658" s="6" t="str">
        <f>"1999-10-13"</f>
        <v>1999-10-13</v>
      </c>
      <c r="I658" s="6"/>
    </row>
    <row r="659" s="1" customFormat="1" ht="30" customHeight="1" spans="1:9">
      <c r="A659" s="6">
        <v>657</v>
      </c>
      <c r="B659" s="6" t="str">
        <f>"48712023020510511923179"</f>
        <v>48712023020510511923179</v>
      </c>
      <c r="C659" s="6" t="str">
        <f t="shared" si="143"/>
        <v>0202</v>
      </c>
      <c r="D659" s="6" t="s">
        <v>12</v>
      </c>
      <c r="E659" s="6" t="s">
        <v>14</v>
      </c>
      <c r="F659" s="6" t="str">
        <f>"钟易汝"</f>
        <v>钟易汝</v>
      </c>
      <c r="G659" s="6" t="str">
        <f t="shared" si="148"/>
        <v>女</v>
      </c>
      <c r="H659" s="6" t="str">
        <f>"2000-07-30"</f>
        <v>2000-07-30</v>
      </c>
      <c r="I659" s="6"/>
    </row>
    <row r="660" s="1" customFormat="1" ht="30" customHeight="1" spans="1:9">
      <c r="A660" s="6">
        <v>658</v>
      </c>
      <c r="B660" s="6" t="str">
        <f>"48712023020609204025286"</f>
        <v>48712023020609204025286</v>
      </c>
      <c r="C660" s="6" t="str">
        <f t="shared" si="143"/>
        <v>0202</v>
      </c>
      <c r="D660" s="6" t="s">
        <v>12</v>
      </c>
      <c r="E660" s="6" t="s">
        <v>14</v>
      </c>
      <c r="F660" s="6" t="str">
        <f>"卢村苗"</f>
        <v>卢村苗</v>
      </c>
      <c r="G660" s="6" t="str">
        <f t="shared" si="148"/>
        <v>女</v>
      </c>
      <c r="H660" s="6" t="str">
        <f>"2000-03-15"</f>
        <v>2000-03-15</v>
      </c>
      <c r="I660" s="6"/>
    </row>
    <row r="661" s="1" customFormat="1" ht="30" customHeight="1" spans="1:9">
      <c r="A661" s="6">
        <v>659</v>
      </c>
      <c r="B661" s="6" t="str">
        <f>"48712023020611094125749"</f>
        <v>48712023020611094125749</v>
      </c>
      <c r="C661" s="6" t="str">
        <f t="shared" si="143"/>
        <v>0202</v>
      </c>
      <c r="D661" s="6" t="s">
        <v>12</v>
      </c>
      <c r="E661" s="6" t="s">
        <v>14</v>
      </c>
      <c r="F661" s="6" t="str">
        <f>"苏高妹"</f>
        <v>苏高妹</v>
      </c>
      <c r="G661" s="6" t="str">
        <f t="shared" si="148"/>
        <v>女</v>
      </c>
      <c r="H661" s="6" t="str">
        <f>"1999-12-17"</f>
        <v>1999-12-17</v>
      </c>
      <c r="I661" s="6"/>
    </row>
    <row r="662" s="1" customFormat="1" ht="30" customHeight="1" spans="1:9">
      <c r="A662" s="6">
        <v>660</v>
      </c>
      <c r="B662" s="6" t="str">
        <f>"48712023020621141627319"</f>
        <v>48712023020621141627319</v>
      </c>
      <c r="C662" s="6" t="str">
        <f t="shared" si="143"/>
        <v>0202</v>
      </c>
      <c r="D662" s="6" t="s">
        <v>12</v>
      </c>
      <c r="E662" s="6" t="s">
        <v>14</v>
      </c>
      <c r="F662" s="6" t="str">
        <f>"贾晓彤"</f>
        <v>贾晓彤</v>
      </c>
      <c r="G662" s="6" t="str">
        <f>"男"</f>
        <v>男</v>
      </c>
      <c r="H662" s="6" t="str">
        <f>"1993-06-16"</f>
        <v>1993-06-16</v>
      </c>
      <c r="I662" s="6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2023-02-13T01:07:00Z</dcterms:created>
  <dcterms:modified xsi:type="dcterms:W3CDTF">2023-02-23T04:01:36Z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FDA1315E55044739A15AEF2EDE4FB19C</vt:lpwstr>
  </property>
  <property fmtid="{D5CDD505-2E9C-101B-9397-08002B2CF9AE}" pid="3" name="KSOProductBuildVer">
    <vt:lpwstr>2052-11.1.0.13703</vt:lpwstr>
  </property>
</Properties>
</file>